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d.docs.live.net/54be5b9a86eb7a54/CRE/Online Portfolio/real models/"/>
    </mc:Choice>
  </mc:AlternateContent>
  <xr:revisionPtr revIDLastSave="22" documentId="8_{633598BE-F403-41FB-9212-8580021EFC2F}" xr6:coauthVersionLast="47" xr6:coauthVersionMax="47" xr10:uidLastSave="{08244B5E-D8A3-4B64-8DC0-2BDFAB1B9392}"/>
  <bookViews>
    <workbookView xWindow="-98" yWindow="-98" windowWidth="21795" windowHeight="13875" firstSheet="4" activeTab="4" xr2:uid="{C6A8E54D-E3F1-4046-8785-8675E6837A5F}"/>
  </bookViews>
  <sheets>
    <sheet name="Stitch Assumptions" sheetId="1" r:id="rId1"/>
    <sheet name="Operating Model" sheetId="2" r:id="rId2"/>
    <sheet name="Sources &amp; Uses + Debt Schedule" sheetId="3" r:id="rId3"/>
    <sheet name="Returns" sheetId="4" r:id="rId4"/>
    <sheet name="Investment Summary" sheetId="5"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3" i="3" l="1"/>
  <c r="D23" i="3"/>
  <c r="C23" i="3"/>
  <c r="C21" i="3"/>
  <c r="I10" i="2"/>
  <c r="D10" i="2"/>
  <c r="C10" i="2"/>
  <c r="B10" i="2"/>
  <c r="B47" i="5"/>
  <c r="B45" i="5"/>
  <c r="B17" i="5"/>
  <c r="B13" i="5"/>
  <c r="B12" i="5"/>
  <c r="B15" i="4" l="1"/>
  <c r="B5" i="4"/>
  <c r="B11" i="3"/>
  <c r="B10" i="3"/>
  <c r="B9" i="3"/>
  <c r="I11" i="2"/>
  <c r="H10" i="2"/>
  <c r="H11" i="2" s="1"/>
  <c r="G10" i="2"/>
  <c r="G11" i="2" s="1"/>
  <c r="F10" i="2"/>
  <c r="F11" i="2" s="1"/>
  <c r="E10" i="2"/>
  <c r="E16" i="2"/>
  <c r="F16" i="2"/>
  <c r="G16" i="2"/>
  <c r="H16" i="2"/>
  <c r="I16" i="2"/>
  <c r="I15" i="2"/>
  <c r="H15" i="2"/>
  <c r="G15" i="2"/>
  <c r="F15" i="2"/>
  <c r="E15" i="2"/>
  <c r="E12" i="2"/>
  <c r="E11" i="2"/>
  <c r="E19" i="2" s="1"/>
  <c r="E20" i="2" s="1"/>
  <c r="I7" i="2"/>
  <c r="H7" i="2"/>
  <c r="G7" i="2"/>
  <c r="F7" i="2"/>
  <c r="E7" i="2"/>
  <c r="I6" i="2"/>
  <c r="H6" i="2"/>
  <c r="G6" i="2"/>
  <c r="F6" i="2"/>
  <c r="E6" i="2"/>
  <c r="C20" i="2"/>
  <c r="C19" i="2"/>
  <c r="C16" i="2"/>
  <c r="D16" i="2"/>
  <c r="B16" i="2"/>
  <c r="D15" i="2"/>
  <c r="C15" i="2"/>
  <c r="B15" i="2"/>
  <c r="C12" i="2"/>
  <c r="C11" i="2"/>
  <c r="D11" i="2"/>
  <c r="D12" i="2" s="1"/>
  <c r="B11" i="2"/>
  <c r="B12" i="2" s="1"/>
  <c r="D7" i="2"/>
  <c r="C7" i="2"/>
  <c r="B36" i="1"/>
  <c r="B23" i="1"/>
  <c r="B16" i="1"/>
  <c r="D19" i="2" l="1"/>
  <c r="I19" i="2"/>
  <c r="I12" i="2"/>
  <c r="H19" i="2"/>
  <c r="H20" i="2" s="1"/>
  <c r="H12" i="2"/>
  <c r="G19" i="2"/>
  <c r="G20" i="2" s="1"/>
  <c r="G12" i="2"/>
  <c r="F19" i="2"/>
  <c r="F20" i="2" s="1"/>
  <c r="F12" i="2"/>
  <c r="B19" i="2"/>
  <c r="B20" i="2" s="1"/>
  <c r="I20" i="2" l="1"/>
  <c r="B20" i="4"/>
  <c r="B52" i="5" s="1"/>
  <c r="B4" i="4"/>
  <c r="B6" i="4" s="1"/>
  <c r="B8" i="4" s="1"/>
  <c r="B9" i="1"/>
  <c r="B19" i="4"/>
  <c r="B51" i="5" s="1"/>
  <c r="D20" i="2"/>
  <c r="B14" i="5" l="1"/>
  <c r="B33" i="1"/>
  <c r="B15" i="5" l="1"/>
  <c r="B34" i="1"/>
  <c r="B4" i="3"/>
  <c r="C19" i="3" l="1"/>
  <c r="C20" i="3" s="1"/>
  <c r="C22" i="3" s="1"/>
  <c r="C24" i="3" s="1"/>
  <c r="B16" i="5"/>
  <c r="B5" i="3"/>
  <c r="B6" i="3" s="1"/>
  <c r="B14" i="3" s="1"/>
  <c r="B12" i="4"/>
  <c r="B26" i="4" s="1"/>
  <c r="C26" i="4"/>
  <c r="D19" i="3" l="1"/>
  <c r="D20" i="3" s="1"/>
  <c r="D21" i="3"/>
  <c r="D22" i="3" l="1"/>
  <c r="D24" i="3" s="1"/>
  <c r="D26" i="4"/>
  <c r="E19" i="3" l="1"/>
  <c r="E20" i="3" s="1"/>
  <c r="E21" i="3"/>
  <c r="E22" i="3" l="1"/>
  <c r="E24" i="3" s="1"/>
  <c r="E26" i="4" l="1"/>
  <c r="F19" i="3"/>
  <c r="F20" i="3" s="1"/>
  <c r="F21" i="3"/>
  <c r="F22" i="3" l="1"/>
  <c r="F23" i="3" s="1"/>
  <c r="F26" i="4" s="1"/>
  <c r="F24" i="3"/>
  <c r="G21" i="3" l="1"/>
  <c r="G19" i="3"/>
  <c r="G20" i="3" l="1"/>
  <c r="G22" i="3" s="1"/>
  <c r="G23" i="3"/>
  <c r="G24" i="3" s="1"/>
  <c r="B7" i="4" l="1"/>
  <c r="B9" i="4" s="1"/>
  <c r="B28" i="3"/>
  <c r="B27" i="3"/>
  <c r="B21" i="4" s="1"/>
  <c r="B53" i="5" l="1"/>
  <c r="B22" i="4"/>
  <c r="B46" i="5" s="1"/>
  <c r="G26" i="4"/>
  <c r="B13" i="4"/>
  <c r="B14" i="4" l="1"/>
  <c r="B44" i="5" s="1"/>
  <c r="B16" i="4"/>
  <c r="B43" i="5" s="1"/>
</calcChain>
</file>

<file path=xl/sharedStrings.xml><?xml version="1.0" encoding="utf-8"?>
<sst xmlns="http://schemas.openxmlformats.org/spreadsheetml/2006/main" count="159" uniqueCount="145">
  <si>
    <t>ASSUMPTIONS</t>
  </si>
  <si>
    <t>TRANSACTION OVERVIEW</t>
  </si>
  <si>
    <t>Company Name</t>
  </si>
  <si>
    <t>Target Sector</t>
  </si>
  <si>
    <t>Transaction Type</t>
  </si>
  <si>
    <t>Enterprise Value</t>
  </si>
  <si>
    <t>Entry EBITDA Multiple</t>
  </si>
  <si>
    <t>Base Year EBITDA (LTM 2025)</t>
  </si>
  <si>
    <t>HISTORICAL FINANCIALS ($M)</t>
  </si>
  <si>
    <t>Revenue 2022E</t>
  </si>
  <si>
    <t>Revenue 2023E</t>
  </si>
  <si>
    <t>Revenue 2024E</t>
  </si>
  <si>
    <t>Revenue 2025E (LTM)</t>
  </si>
  <si>
    <t>Gross Margin 2022E</t>
  </si>
  <si>
    <t>Gross Margin 2023E</t>
  </si>
  <si>
    <t>Gross Margin 2024E</t>
  </si>
  <si>
    <t>Gross Margin 2025E</t>
  </si>
  <si>
    <t>EBITDA Margin 2025E</t>
  </si>
  <si>
    <t>Growth Assumptions (Base Case)</t>
  </si>
  <si>
    <t>Revenue Growth Year 1</t>
  </si>
  <si>
    <t>Revenue Growth Year 2</t>
  </si>
  <si>
    <t>Revenue Growth Year 3</t>
  </si>
  <si>
    <t>Revenue Growth Year 4</t>
  </si>
  <si>
    <t>Revenue Growth Year 5</t>
  </si>
  <si>
    <t>Annual Gross Margin Expansion</t>
  </si>
  <si>
    <t>OpEx Growth Ratio (% of revenue)</t>
  </si>
  <si>
    <t>CAPITAL STRUCTURE</t>
  </si>
  <si>
    <t>Senior Debt (turns of EBITDA)</t>
  </si>
  <si>
    <t>Senior Debt Amount</t>
  </si>
  <si>
    <t>Transaction Fees (% of EV)</t>
  </si>
  <si>
    <t>Transaction Fees Amount</t>
  </si>
  <si>
    <t>DEBT TERMS</t>
  </si>
  <si>
    <t>Interest Rate</t>
  </si>
  <si>
    <t>Amortization / Term (years)</t>
  </si>
  <si>
    <t>Cash Sweep %</t>
  </si>
  <si>
    <t>EXIT ASSUMPTIONS</t>
  </si>
  <si>
    <t>Hold Period (years)</t>
  </si>
  <si>
    <t>Exit EBITDA Multiple</t>
  </si>
  <si>
    <t>Exit Transaction Fees (% of EV)</t>
  </si>
  <si>
    <t>Golf Accessories &amp; Apparel</t>
  </si>
  <si>
    <t>Sponsor-Led Buyout</t>
  </si>
  <si>
    <t>Stitch Golf, Inc.</t>
  </si>
  <si>
    <t>Sponsor Equity</t>
  </si>
  <si>
    <t>OPERATING MODEL</t>
  </si>
  <si>
    <t>REVENUE</t>
  </si>
  <si>
    <t>YoY Growth %</t>
  </si>
  <si>
    <t>GROSS PROFIT</t>
  </si>
  <si>
    <t>Cost of Goods Sold</t>
  </si>
  <si>
    <t>Gross Profit</t>
  </si>
  <si>
    <t>Gross Margin %</t>
  </si>
  <si>
    <t>OPERATING EXPENSES</t>
  </si>
  <si>
    <t>Total OpEx</t>
  </si>
  <si>
    <t>OpEx as % of Revenue</t>
  </si>
  <si>
    <t>EBITDA</t>
  </si>
  <si>
    <t>EBITDA Margin %</t>
  </si>
  <si>
    <t>DEPRECIATION &amp; AMORTIZATION</t>
  </si>
  <si>
    <t>D&amp;A (est. 2% of revenue)</t>
  </si>
  <si>
    <t>EBIT</t>
  </si>
  <si>
    <t>EBIT Margin %</t>
  </si>
  <si>
    <t>Revenue</t>
  </si>
  <si>
    <t>2023A</t>
  </si>
  <si>
    <t>2024A</t>
  </si>
  <si>
    <t>2025A (LTM)</t>
  </si>
  <si>
    <t>2026E (Year 1)</t>
  </si>
  <si>
    <t>2027E (Year 2)</t>
  </si>
  <si>
    <t>2028E (Year 3)</t>
  </si>
  <si>
    <t>2029E (Year 4)</t>
  </si>
  <si>
    <t>2030E (Year 5)</t>
  </si>
  <si>
    <t>SOURCES &amp;USES +DEBT SCHEDULE</t>
  </si>
  <si>
    <t>SOURCES OF FUNDS ($)</t>
  </si>
  <si>
    <t>Senior Debt</t>
  </si>
  <si>
    <t>Total Sources</t>
  </si>
  <si>
    <t>USES OF FUNDS ($)</t>
  </si>
  <si>
    <t>Purchase Enterprise Value</t>
  </si>
  <si>
    <t>Transaction Fees</t>
  </si>
  <si>
    <t>Total Uses</t>
  </si>
  <si>
    <t>BALANCE CHECK</t>
  </si>
  <si>
    <t>Sources - Uses</t>
  </si>
  <si>
    <t>DEBT SCHEDULE</t>
  </si>
  <si>
    <t>Beginning Balance</t>
  </si>
  <si>
    <t>Interest Expense</t>
  </si>
  <si>
    <t>Mandatory Amortization</t>
  </si>
  <si>
    <t>Cash Available for Sweep</t>
  </si>
  <si>
    <t>Cash Sweep Applied</t>
  </si>
  <si>
    <t>Ending Balance</t>
  </si>
  <si>
    <t>DEBT PAYDOWN SUMMARY</t>
  </si>
  <si>
    <t>Cumulative Debt Paid</t>
  </si>
  <si>
    <t>Remaining Debt at Exit</t>
  </si>
  <si>
    <t>At Close</t>
  </si>
  <si>
    <t>Year 1 (2026)</t>
  </si>
  <si>
    <t>Year 2 (2027)</t>
  </si>
  <si>
    <t>Year 3( 2028)</t>
  </si>
  <si>
    <t>Year 4 (2029)</t>
  </si>
  <si>
    <t>Year 5 (2030)</t>
  </si>
  <si>
    <t>RETURNS ANALYSIS</t>
  </si>
  <si>
    <t>EXIT VALUE CALCULATION</t>
  </si>
  <si>
    <t>Exit Year EBITDA (2030)</t>
  </si>
  <si>
    <t>Exit Enterprise Value</t>
  </si>
  <si>
    <t>Less: Remaining Debt at Exit</t>
  </si>
  <si>
    <t>Less: Exit Transaction Fees</t>
  </si>
  <si>
    <t>Equity Proceeds at Exit</t>
  </si>
  <si>
    <t>RETURNS SUMMARY</t>
  </si>
  <si>
    <t>Initial Sponsor Equity Invested</t>
  </si>
  <si>
    <t>Money-on-Invested-Capital (MOIC)</t>
  </si>
  <si>
    <t>Levered IRR</t>
  </si>
  <si>
    <t>RETURNS BRIDGE</t>
  </si>
  <si>
    <t>EBITDA Growth Contribution</t>
  </si>
  <si>
    <t>Multiple Change Contribution</t>
  </si>
  <si>
    <t>Debt Paydown Contribution</t>
  </si>
  <si>
    <t>Total Value Creation</t>
  </si>
  <si>
    <t>CASH FLOW SCHEDULE</t>
  </si>
  <si>
    <t>Equity Cash Flow</t>
  </si>
  <si>
    <t>Year 3 (2028)</t>
  </si>
  <si>
    <t>STITCH GOLF ACQUISITION - INVESTMENT COMMITTEE MEMO</t>
  </si>
  <si>
    <t>DEAL SUMMARY</t>
  </si>
  <si>
    <t>Target: Stitch Golf, Inc.</t>
  </si>
  <si>
    <t>Sector: Premium Golf Accessories &amp; Apparel</t>
  </si>
  <si>
    <t>Sponsor: 8AM Golf (Hypothetical)</t>
  </si>
  <si>
    <t>Transaction Type: Sponsor-Led Buyout</t>
  </si>
  <si>
    <t>Analyst: Nik Wittenfeld</t>
  </si>
  <si>
    <t>Enterprise Value:</t>
  </si>
  <si>
    <t>Entry EBITDA Multiple:</t>
  </si>
  <si>
    <t>Senior Debt:</t>
  </si>
  <si>
    <t>Sponsor Equity:</t>
  </si>
  <si>
    <t>Transaction Fees:</t>
  </si>
  <si>
    <t>COMPANY OVERVIEW</t>
  </si>
  <si>
    <t>INVESTMENT THESIS</t>
  </si>
  <si>
    <t>VALUE CREATION PLAN</t>
  </si>
  <si>
    <t>Levered IRR:</t>
  </si>
  <si>
    <t>MOIC:</t>
  </si>
  <si>
    <t>Hold Period:</t>
  </si>
  <si>
    <t>Total Value Creation:</t>
  </si>
  <si>
    <t>Exit EBITDA Multiple:</t>
  </si>
  <si>
    <t>Exit Path: Sale to strategic buyer (Acushnet, Callaway) or larger consumer PE</t>
  </si>
  <si>
    <t>Returns Bridge Contribution</t>
  </si>
  <si>
    <t xml:space="preserve"> - EBITDA GROWTH:</t>
  </si>
  <si>
    <t xml:space="preserve"> - Multiple Change:</t>
  </si>
  <si>
    <t xml:space="preserve"> - Debt Paydown</t>
  </si>
  <si>
    <t>KEY RISKS &amp; MITIGANTS</t>
  </si>
  <si>
    <t>RECOMMENDATION</t>
  </si>
  <si>
    <t>Stitch Golf is a privately-held premium golf accessories and apparel brand founded in 2012 by Charlie Burgwyn, a PGA Class A professional. Based in Cary, North Carolina and led by CEO Brad King, the company designs and manufactures high-end leather headcovers, custom golf bags, alignment sticks, and lifestyle apparel. Its business model is heavily direct-to-consumer, with the remainder of revenue coming through private country clubs and specialty golf retail. Despite raising only $6.6M of outside capital over its history, Stitch has grown to approximately $36M of revenue and $5.4M of EBITDA — a rare combination of scale, profitability, and capital efficiency in the consumer brand space. The company's premium positioning, heritage craftsmanship aesthetic, and entrenched country club distribution make it a natural strategic fit for 8AM Golf's existing portfolio of premium golf lifestyle brands.</t>
  </si>
  <si>
    <t>Stitch Golf represents a rare opportunity to acquire a scaled, profitable, and capital-efficient premium consumer brand at a defensible entry multiple, in a category with strong structural tailwinds.
First, the golf industry has genuine momentum. Participation is at its highest level since the 1990s, driven by post-pandemic engagement, growth in women's and next-generation golfers, and the expansion of golf-adjacent lifestyle experiences. Premium golf brands have benefited disproportionately from this trend as the sport continues to shift from a country club activity toward a broader cultural phenomenon.
Second, Stitch has already proven the business model works. The company has grown revenue from $22M to $36M over the past three years while expanding EBITDA margins from 9% to 15% — a clear signal of both product-market fit and operating leverage. Getting to $5.4M of EBITDA on just $6.6M of outside capital raised is unusual in the consumer brand space and speaks to a disciplined, founder-led operating culture.
Third, the strategic fit with 8AM Golf is exceptional. 8AM's existing portfolio — Malbon, Bettinardi, Sunday Golf, Nexbelt, and Golfer's Journal — provides distribution relationships, marketing infrastructure, tour player access, and customer overlap that would accelerate Stitch's growth well beyond what the company could achieve on its own. This is precisely the type of acquisition where the platform makes the target more valuable than the sum of its parts.
Finally, the exit optionality is meaningful. At a projected exit EBITDA of $22.8M, Stitch would sit squarely in the acquisition sweet spot for strategic buyers like Acushnet or Callaway, as well as larger consumer-focused private equity funds. Multiple exit paths reduce timing risk and improve the probability of achieving base case returns.</t>
  </si>
  <si>
    <t>The base case projects revenue growth from $36M to $74M and EBITDA growth from $5.4M to $22.8M over the five-year hold period. This trajectory is driven by four operational levers 8AM Golf is uniquely positioned to execute.
The first lever is accelerated DTC growth through 8AM's marketing infrastructure. Stitch currently generates about 55% of revenue through direct-to-consumer channels, but marketing has historically been a bootstrapped effort. Post-close, Stitch can leverage the editorial reach of Golfer's Journal, co-marketing partnerships across the portfolio, and access to 8AM's tour player endorsement relationships to meaningfully expand brand awareness and DTC conversion. Digital marketing spend can be scaled with confidence given 8AM's proven playbook.
The second lever is international expansion. Stitch currently generates only around 10% of revenue from international markets, despite significant demand across Europe, Japan, and Korea for premium American golf brands. 8AM's existing international distribution relationships and brand development capabilities provide a plug-and-play platform to grow international revenue to 20%+ of total over the hold period.
The third lever is product line extension into performance apparel. Golf apparel is currently the fastest-growing segment within the premium golf lifestyle category. Stitch's brand equity, existing customer base, and established country club distribution provide a natural runway for expansion beyond accessories into a full lifestyle offering. Add-on acquisition of a complementary category brand — belts, headwear, or performance layers — could accelerate this timeline.
The fourth lever is margin expansion. Gross margin is projected to expand from 59% to 64% over the hold period, driven by continued DTC channel mix shift, improved sourcing scale as revenue grows, and reduced promotional intensity as the brand matures. Combined with operating leverage on fixed SG&amp;A, EBITDA margin is projected to reach 31% by exit — an ambitious but defensible target given premium consumer brand benchmarks.</t>
  </si>
  <si>
    <t>Every investment thesis carries risk, and honest diligence requires acknowledging where this deal could underperform.
The first risk is that growth assumptions prove too aggressive. The base case models ~15% revenue CAGR and material EBITDA margin expansion from 15% to 31% — an ambitious trajectory even for a well-positioned brand with strong tailwinds. If Stitch grows at a more moderate 8-10% pace and margins expand more slowly, returns compress meaningfully. This risk is partially mitigated by the fact that Stitch has already demonstrated 15%+ historical growth without meaningful outside capital or marketing infrastructure, suggesting the target growth rate is achievable rather than aspirational. Downside sensitivity analysis will quantify the impact of more conservative assumptions.
The second risk is golf market cyclicality. Golf participation has historically been sensitive to macroeconomic conditions, and premium golf spending tends to compress during downturns. However, Stitch's core customer base — affluent private club members — is demographically more resilient than mass-market golfers, and the company's premium positioning provides pricing power that mid-tier brands lack. Diversification of the customer base through international expansion further reduces geographic concentration risk.
The third risk is founder and CEO transition. Stitch remains closely associated with founder Charlie Burgwyn and CEO Brad King, and any disruption to the leadership team could impact brand direction and customer relationships. Structuring a meaningful rollover equity component for the founder and CEO, coupled with multi-year employment agreements and performance-based earnouts, preserves institutional knowledge and aligns incentives through the hold period.
The fourth risk is exit multiple compression. The base case assumes 100 basis points of multiple compression from entry (12.0x) to exit (11.0x), but a more severe compression scenario would materially impact returns. Mitigants include Stitch's projected size at exit ($22.8M EBITDA), which places it in a category with multiple viable exit paths — strategic buyers (Acushnet, Callaway, PVH), consumer-focused private equity, or public market alternatives — reducing dependence on any single buyer pool.</t>
  </si>
  <si>
    <t>Pursue the acquisition of Stitch Golf at the proposed $65M enterprise value.
The transaction offers 8AM Golf a rare opportunity to acquire a scaled, profitable, and capital-efficient premium consumer brand at a defensible entry multiple, in a category with genuine structural tailwinds. Base case returns of 5.85x MOIC and 42%+ IRR meaningfully exceed typical private equity return targets and provide substantial cushion against downside scenarios. Even in a conservative case where growth moderates and exit multiples compress further, the transaction is projected to generate returns in line with 8AM's historical performance.
The strategic fit with 8AM's existing portfolio is exceptional. Distribution relationships, marketing infrastructure, tour player access, and customer overlap create clear operational levers that would be difficult for a financial buyer without a golf-focused platform to replicate. This is the type of acquisition where 8AM's platform meaningfully increases the intrinsic value of the target — a defining characteristic of successful platform investing.
Recommend submitting an indicative letter of intent at the modeled $65M valuation, structured with a meaningful rollover equity component for the founder and CEO to preserve alignment and institutional knowledge. Final pricing and structure should remain subject to management diligence, customary financial confirmations, and validation of the international expansion and margin expansion opportunities that anchor the value creation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</si>
</sst>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0.0%"/>
    <numFmt numFmtId="165" formatCode="0.00\x"/>
    <numFmt numFmtId="166" formatCode="0.0\x"/>
    <numFmt numFmtId="167" formatCode="[$-409]mmmm\ d\,\ yyyy;@"/>
  </numFmts>
  <fonts count="5" x14ac:knownFonts="1">
    <font>
      <sz val="36"/>
      <color theme="1"/>
      <name val="Aptos Narrow"/>
      <family val="2"/>
      <scheme val="minor"/>
    </font>
    <font>
      <sz val="36"/>
      <color theme="1"/>
      <name val="Aptos Narrow"/>
      <family val="2"/>
      <scheme val="minor"/>
    </font>
    <font>
      <b/>
      <sz val="36"/>
      <color theme="1"/>
      <name val="Aptos Narrow"/>
      <family val="2"/>
      <scheme val="minor"/>
    </font>
    <font>
      <sz val="18"/>
      <name val="Aptos Narrow"/>
      <family val="2"/>
      <scheme val="minor"/>
    </font>
    <font>
      <sz val="11"/>
      <color theme="1"/>
      <name val="Aptos Narrow"/>
      <family val="2"/>
      <scheme val="minor"/>
    </font>
  </fonts>
  <fills count="2">
    <fill>
      <patternFill patternType="none"/>
    </fill>
    <fill>
      <patternFill patternType="gray125"/>
    </fill>
  </fills>
  <borders count="1">
    <border>
      <left/>
      <right/>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cellStyleXfs>
  <cellXfs count="13">
    <xf numFmtId="0" fontId="0" fillId="0" borderId="0" xfId="0"/>
    <xf numFmtId="44" fontId="0" fillId="0" borderId="0" xfId="1" applyFont="1"/>
    <xf numFmtId="44" fontId="0" fillId="0" borderId="0" xfId="0" applyNumberFormat="1"/>
    <xf numFmtId="9" fontId="0" fillId="0" borderId="0" xfId="2" applyFont="1"/>
    <xf numFmtId="164" fontId="0" fillId="0" borderId="0" xfId="2" applyNumberFormat="1" applyFont="1"/>
    <xf numFmtId="165" fontId="0" fillId="0" borderId="0" xfId="2" applyNumberFormat="1" applyFont="1"/>
    <xf numFmtId="166" fontId="0" fillId="0" borderId="0" xfId="0" applyNumberFormat="1"/>
    <xf numFmtId="0" fontId="0" fillId="0" borderId="0" xfId="0" applyAlignment="1">
      <alignment horizontal="center"/>
    </xf>
    <xf numFmtId="0" fontId="2" fillId="0" borderId="0" xfId="0" applyFont="1"/>
    <xf numFmtId="44" fontId="2" fillId="0" borderId="0" xfId="0" applyNumberFormat="1" applyFont="1"/>
    <xf numFmtId="0" fontId="0" fillId="0" borderId="0" xfId="0" applyAlignment="1">
      <alignment wrapText="1"/>
    </xf>
    <xf numFmtId="166" fontId="0" fillId="0" borderId="0" xfId="2" applyNumberFormat="1" applyFont="1"/>
    <xf numFmtId="167" fontId="0" fillId="0" borderId="0" xfId="0" applyNumberFormat="1" applyAlignment="1">
      <alignment horizontal="left"/>
    </xf>
  </cellXfs>
  <cellStyles count="4">
    <cellStyle name="Currency" xfId="1" builtinId="4"/>
    <cellStyle name="Normal" xfId="0" builtinId="0"/>
    <cellStyle name="Normal 2" xfId="3" xr:uid="{EE264554-8695-4FDC-8DAA-DABBB18D531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007B5-382D-4469-9880-53B51A6B1F33}">
  <dimension ref="A1:B46"/>
  <sheetViews>
    <sheetView topLeftCell="A22" zoomScale="32" workbookViewId="0">
      <selection activeCell="B10" sqref="B10"/>
    </sheetView>
  </sheetViews>
  <sheetFormatPr defaultRowHeight="46.9" x14ac:dyDescent="1.4"/>
  <cols>
    <col min="1" max="1" width="27.0390625" bestFit="1" customWidth="1"/>
    <col min="2" max="2" width="21.89453125" bestFit="1" customWidth="1"/>
  </cols>
  <sheetData>
    <row r="1" spans="1:2" x14ac:dyDescent="1.4">
      <c r="A1" t="s">
        <v>0</v>
      </c>
    </row>
    <row r="3" spans="1:2" x14ac:dyDescent="1.4">
      <c r="A3" t="s">
        <v>1</v>
      </c>
    </row>
    <row r="4" spans="1:2" x14ac:dyDescent="1.4">
      <c r="A4" t="s">
        <v>2</v>
      </c>
      <c r="B4" s="7" t="s">
        <v>41</v>
      </c>
    </row>
    <row r="5" spans="1:2" x14ac:dyDescent="1.4">
      <c r="A5" t="s">
        <v>3</v>
      </c>
      <c r="B5" s="7" t="s">
        <v>39</v>
      </c>
    </row>
    <row r="6" spans="1:2" x14ac:dyDescent="1.4">
      <c r="A6" t="s">
        <v>4</v>
      </c>
      <c r="B6" s="7" t="s">
        <v>40</v>
      </c>
    </row>
    <row r="7" spans="1:2" x14ac:dyDescent="1.4">
      <c r="A7" t="s">
        <v>5</v>
      </c>
      <c r="B7" s="1">
        <v>65000000</v>
      </c>
    </row>
    <row r="8" spans="1:2" x14ac:dyDescent="1.4">
      <c r="A8" t="s">
        <v>6</v>
      </c>
      <c r="B8" s="6">
        <v>12</v>
      </c>
    </row>
    <row r="9" spans="1:2" x14ac:dyDescent="1.4">
      <c r="A9" t="s">
        <v>7</v>
      </c>
      <c r="B9" s="2">
        <f>'Operating Model'!D19</f>
        <v>5440000</v>
      </c>
    </row>
    <row r="11" spans="1:2" x14ac:dyDescent="1.4">
      <c r="A11" t="s">
        <v>8</v>
      </c>
    </row>
    <row r="12" spans="1:2" x14ac:dyDescent="1.4">
      <c r="A12" t="s">
        <v>9</v>
      </c>
      <c r="B12" s="1">
        <v>22000000</v>
      </c>
    </row>
    <row r="13" spans="1:2" x14ac:dyDescent="1.4">
      <c r="A13" t="s">
        <v>10</v>
      </c>
      <c r="B13" s="1">
        <v>27500000</v>
      </c>
    </row>
    <row r="14" spans="1:2" x14ac:dyDescent="1.4">
      <c r="A14" t="s">
        <v>11</v>
      </c>
      <c r="B14" s="1">
        <v>32500000</v>
      </c>
    </row>
    <row r="15" spans="1:2" x14ac:dyDescent="1.4">
      <c r="A15" t="s">
        <v>12</v>
      </c>
      <c r="B15" s="1">
        <v>36000000</v>
      </c>
    </row>
    <row r="16" spans="1:2" x14ac:dyDescent="1.4">
      <c r="A16" t="s">
        <v>13</v>
      </c>
      <c r="B16" s="3">
        <f>0.54</f>
        <v>0.54</v>
      </c>
    </row>
    <row r="17" spans="1:2" x14ac:dyDescent="1.4">
      <c r="A17" t="s">
        <v>14</v>
      </c>
      <c r="B17" s="3">
        <v>0.56000000000000005</v>
      </c>
    </row>
    <row r="18" spans="1:2" x14ac:dyDescent="1.4">
      <c r="A18" t="s">
        <v>15</v>
      </c>
      <c r="B18" s="3">
        <v>0.56999999999999995</v>
      </c>
    </row>
    <row r="19" spans="1:2" x14ac:dyDescent="1.4">
      <c r="A19" t="s">
        <v>16</v>
      </c>
      <c r="B19" s="3">
        <v>0.59</v>
      </c>
    </row>
    <row r="20" spans="1:2" x14ac:dyDescent="1.4">
      <c r="A20" t="s">
        <v>17</v>
      </c>
      <c r="B20" s="3">
        <v>0.15</v>
      </c>
    </row>
    <row r="22" spans="1:2" x14ac:dyDescent="1.4">
      <c r="A22" t="s">
        <v>18</v>
      </c>
    </row>
    <row r="23" spans="1:2" x14ac:dyDescent="1.4">
      <c r="A23" t="s">
        <v>19</v>
      </c>
      <c r="B23" s="3">
        <f>0.18</f>
        <v>0.18</v>
      </c>
    </row>
    <row r="24" spans="1:2" x14ac:dyDescent="1.4">
      <c r="A24" t="s">
        <v>20</v>
      </c>
      <c r="B24" s="3">
        <v>0.18</v>
      </c>
    </row>
    <row r="25" spans="1:2" x14ac:dyDescent="1.4">
      <c r="A25" t="s">
        <v>21</v>
      </c>
      <c r="B25" s="3">
        <v>0.15</v>
      </c>
    </row>
    <row r="26" spans="1:2" x14ac:dyDescent="1.4">
      <c r="A26" t="s">
        <v>22</v>
      </c>
      <c r="B26" s="3">
        <v>0.15</v>
      </c>
    </row>
    <row r="27" spans="1:2" x14ac:dyDescent="1.4">
      <c r="A27" t="s">
        <v>23</v>
      </c>
      <c r="B27" s="3">
        <v>0.12</v>
      </c>
    </row>
    <row r="28" spans="1:2" x14ac:dyDescent="1.4">
      <c r="A28" t="s">
        <v>24</v>
      </c>
      <c r="B28" s="3">
        <v>0.01</v>
      </c>
    </row>
    <row r="29" spans="1:2" x14ac:dyDescent="1.4">
      <c r="A29" t="s">
        <v>25</v>
      </c>
      <c r="B29" s="3">
        <v>0.6</v>
      </c>
    </row>
    <row r="31" spans="1:2" x14ac:dyDescent="1.4">
      <c r="A31" t="s">
        <v>26</v>
      </c>
    </row>
    <row r="32" spans="1:2" x14ac:dyDescent="1.4">
      <c r="A32" t="s">
        <v>27</v>
      </c>
      <c r="B32" s="5">
        <v>4.5</v>
      </c>
    </row>
    <row r="33" spans="1:2" x14ac:dyDescent="1.4">
      <c r="A33" t="s">
        <v>28</v>
      </c>
      <c r="B33" s="2">
        <f>B32*B9</f>
        <v>24480000</v>
      </c>
    </row>
    <row r="34" spans="1:2" x14ac:dyDescent="1.4">
      <c r="A34" t="s">
        <v>42</v>
      </c>
      <c r="B34" s="2">
        <f>B7+B36-B33</f>
        <v>42145000</v>
      </c>
    </row>
    <row r="35" spans="1:2" x14ac:dyDescent="1.4">
      <c r="A35" t="s">
        <v>29</v>
      </c>
      <c r="B35" s="3">
        <v>2.5000000000000001E-2</v>
      </c>
    </row>
    <row r="36" spans="1:2" x14ac:dyDescent="1.4">
      <c r="A36" t="s">
        <v>30</v>
      </c>
      <c r="B36" s="2">
        <f>B7*B35</f>
        <v>1625000</v>
      </c>
    </row>
    <row r="38" spans="1:2" x14ac:dyDescent="1.4">
      <c r="A38" t="s">
        <v>31</v>
      </c>
    </row>
    <row r="39" spans="1:2" x14ac:dyDescent="1.4">
      <c r="A39" t="s">
        <v>32</v>
      </c>
      <c r="B39">
        <v>9.5000000000000001E-2</v>
      </c>
    </row>
    <row r="40" spans="1:2" x14ac:dyDescent="1.4">
      <c r="A40" t="s">
        <v>33</v>
      </c>
      <c r="B40">
        <v>6</v>
      </c>
    </row>
    <row r="41" spans="1:2" x14ac:dyDescent="1.4">
      <c r="A41" t="s">
        <v>34</v>
      </c>
      <c r="B41" s="3">
        <v>0.75</v>
      </c>
    </row>
    <row r="43" spans="1:2" x14ac:dyDescent="1.4">
      <c r="A43" t="s">
        <v>35</v>
      </c>
    </row>
    <row r="44" spans="1:2" x14ac:dyDescent="1.4">
      <c r="A44" t="s">
        <v>36</v>
      </c>
      <c r="B44">
        <v>5</v>
      </c>
    </row>
    <row r="45" spans="1:2" x14ac:dyDescent="1.4">
      <c r="A45" t="s">
        <v>37</v>
      </c>
      <c r="B45" s="6">
        <v>11</v>
      </c>
    </row>
    <row r="46" spans="1:2" x14ac:dyDescent="1.4">
      <c r="A46" t="s">
        <v>38</v>
      </c>
      <c r="B46" s="4">
        <v>1.4999999999999999E-2</v>
      </c>
    </row>
  </sheetData>
  <phoneticPr fontId="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203A4-3812-4FFA-8BC5-77D12F778C0F}">
  <dimension ref="A1:I27"/>
  <sheetViews>
    <sheetView zoomScale="43" zoomScaleNormal="58" workbookViewId="0">
      <selection activeCell="I11" sqref="I11"/>
    </sheetView>
  </sheetViews>
  <sheetFormatPr defaultRowHeight="46.9" x14ac:dyDescent="1.4"/>
  <cols>
    <col min="1" max="1" width="27.203125" bestFit="1" customWidth="1"/>
    <col min="2" max="4" width="15.05859375" bestFit="1" customWidth="1"/>
    <col min="5" max="9" width="14.91796875" bestFit="1" customWidth="1"/>
  </cols>
  <sheetData>
    <row r="1" spans="1:9" x14ac:dyDescent="1.4">
      <c r="A1" t="s">
        <v>43</v>
      </c>
    </row>
    <row r="3" spans="1:9" x14ac:dyDescent="1.4">
      <c r="B3" t="s">
        <v>60</v>
      </c>
      <c r="C3" t="s">
        <v>61</v>
      </c>
      <c r="D3" t="s">
        <v>62</v>
      </c>
      <c r="E3" t="s">
        <v>63</v>
      </c>
      <c r="F3" t="s">
        <v>64</v>
      </c>
      <c r="G3" t="s">
        <v>65</v>
      </c>
      <c r="H3" t="s">
        <v>66</v>
      </c>
      <c r="I3" t="s">
        <v>67</v>
      </c>
    </row>
    <row r="5" spans="1:9" x14ac:dyDescent="1.4">
      <c r="A5" t="s">
        <v>44</v>
      </c>
    </row>
    <row r="6" spans="1:9" x14ac:dyDescent="1.4">
      <c r="A6" t="s">
        <v>59</v>
      </c>
      <c r="B6" s="1">
        <v>27500000</v>
      </c>
      <c r="C6" s="1">
        <v>32500000</v>
      </c>
      <c r="D6" s="1">
        <v>36000000</v>
      </c>
      <c r="E6" s="2">
        <f>D6*(1+'Stitch Assumptions'!B23)</f>
        <v>42480000</v>
      </c>
      <c r="F6" s="2">
        <f>E6*(1+'Stitch Assumptions'!B24)</f>
        <v>50126400</v>
      </c>
      <c r="G6" s="2">
        <f>F6*(1+'Stitch Assumptions'!B25)</f>
        <v>57645359.999999993</v>
      </c>
      <c r="H6" s="2">
        <f>G6*(1+'Stitch Assumptions'!B26)</f>
        <v>66292163.999999985</v>
      </c>
      <c r="I6" s="2">
        <f>H6*(1+'Stitch Assumptions'!B27)</f>
        <v>74247223.679999992</v>
      </c>
    </row>
    <row r="7" spans="1:9" x14ac:dyDescent="1.4">
      <c r="A7" t="s">
        <v>45</v>
      </c>
      <c r="B7" s="3"/>
      <c r="C7" s="4">
        <f t="shared" ref="C7:I7" si="0">C6/B6-1</f>
        <v>0.18181818181818188</v>
      </c>
      <c r="D7" s="4">
        <f t="shared" si="0"/>
        <v>0.10769230769230775</v>
      </c>
      <c r="E7" s="3">
        <f t="shared" si="0"/>
        <v>0.17999999999999994</v>
      </c>
      <c r="F7" s="3">
        <f t="shared" si="0"/>
        <v>0.17999999999999994</v>
      </c>
      <c r="G7" s="3">
        <f t="shared" si="0"/>
        <v>0.14999999999999991</v>
      </c>
      <c r="H7" s="3">
        <f t="shared" si="0"/>
        <v>0.14999999999999991</v>
      </c>
      <c r="I7" s="3">
        <f t="shared" si="0"/>
        <v>0.12000000000000011</v>
      </c>
    </row>
    <row r="9" spans="1:9" x14ac:dyDescent="1.4">
      <c r="A9" t="s">
        <v>46</v>
      </c>
    </row>
    <row r="10" spans="1:9" x14ac:dyDescent="1.4">
      <c r="A10" t="s">
        <v>47</v>
      </c>
      <c r="B10" s="1">
        <f>-'Operating Model'!B6*(1-'Stitch Assumptions'!$B$17)</f>
        <v>-12099999.999999998</v>
      </c>
      <c r="C10" s="1">
        <f>-C6*(1-'Stitch Assumptions'!$B$18)</f>
        <v>-13975000.000000002</v>
      </c>
      <c r="D10" s="1">
        <f>-D6*(1-'Stitch Assumptions'!$B$19)</f>
        <v>-14760000.000000002</v>
      </c>
      <c r="E10" s="1">
        <f>-E6*(1-('Stitch Assumptions'!$B$19+'Stitch Assumptions'!$B$28*1))</f>
        <v>-16992000</v>
      </c>
      <c r="F10" s="1">
        <f>-F6*(1-('Stitch Assumptions'!$B$19+'Stitch Assumptions'!$B$28*2))</f>
        <v>-19549296</v>
      </c>
      <c r="G10" s="1">
        <f>-G6*(1-('Stitch Assumptions'!$B$19+'Stitch Assumptions'!$B$28*3))</f>
        <v>-21905236.799999997</v>
      </c>
      <c r="H10" s="1">
        <f>-H6*(1-('Stitch Assumptions'!$B$19+'Stitch Assumptions'!$B$28*4))</f>
        <v>-24528100.679999996</v>
      </c>
      <c r="I10" s="1">
        <f>-I6*(1-('Stitch Assumptions'!$B$19+'Stitch Assumptions'!$B$28*5))</f>
        <v>-26729000.524799995</v>
      </c>
    </row>
    <row r="11" spans="1:9" x14ac:dyDescent="1.4">
      <c r="A11" t="s">
        <v>48</v>
      </c>
      <c r="B11" s="2">
        <f>B6+B10</f>
        <v>15400000.000000002</v>
      </c>
      <c r="C11" s="2">
        <f t="shared" ref="C11:D11" si="1">C6+C10</f>
        <v>18525000</v>
      </c>
      <c r="D11" s="2">
        <f t="shared" si="1"/>
        <v>21240000</v>
      </c>
      <c r="E11" s="2">
        <f>E6+E10</f>
        <v>25488000</v>
      </c>
      <c r="F11" s="2">
        <f t="shared" ref="F11:I11" si="2">F6+F10</f>
        <v>30577104</v>
      </c>
      <c r="G11" s="2">
        <f t="shared" si="2"/>
        <v>35740123.199999996</v>
      </c>
      <c r="H11" s="2">
        <f t="shared" si="2"/>
        <v>41764063.319999993</v>
      </c>
      <c r="I11" s="2">
        <f t="shared" si="2"/>
        <v>47518223.155199997</v>
      </c>
    </row>
    <row r="12" spans="1:9" x14ac:dyDescent="1.4">
      <c r="A12" t="s">
        <v>49</v>
      </c>
      <c r="B12" s="3">
        <f>B11/B6</f>
        <v>0.56000000000000005</v>
      </c>
      <c r="C12" s="3">
        <f t="shared" ref="C12:D12" si="3">C11/C6</f>
        <v>0.56999999999999995</v>
      </c>
      <c r="D12" s="3">
        <f t="shared" si="3"/>
        <v>0.59</v>
      </c>
      <c r="E12" s="3">
        <f t="shared" ref="E12" si="4">E11/E6</f>
        <v>0.6</v>
      </c>
      <c r="F12" s="3">
        <f t="shared" ref="F12" si="5">F11/F6</f>
        <v>0.61</v>
      </c>
      <c r="G12" s="3">
        <f t="shared" ref="G12" si="6">G11/G6</f>
        <v>0.62</v>
      </c>
      <c r="H12" s="3">
        <f t="shared" ref="H12" si="7">H11/H6</f>
        <v>0.63</v>
      </c>
      <c r="I12" s="3">
        <f t="shared" ref="I12" si="8">I11/I6</f>
        <v>0.64</v>
      </c>
    </row>
    <row r="14" spans="1:9" x14ac:dyDescent="1.4">
      <c r="A14" t="s">
        <v>50</v>
      </c>
    </row>
    <row r="15" spans="1:9" x14ac:dyDescent="1.4">
      <c r="A15" t="s">
        <v>51</v>
      </c>
      <c r="B15" s="1">
        <f>-12400000</f>
        <v>-12400000</v>
      </c>
      <c r="C15" s="1">
        <f>-14300000</f>
        <v>-14300000</v>
      </c>
      <c r="D15" s="1">
        <f>-15800000</f>
        <v>-15800000</v>
      </c>
      <c r="E15" s="2">
        <f>D15*(1+'Stitch Assumptions'!$B$23*'Stitch Assumptions'!$B$29)</f>
        <v>-17506400</v>
      </c>
      <c r="F15" s="2">
        <f>E15*(1+'Stitch Assumptions'!$B$24*'Stitch Assumptions'!$B$29)</f>
        <v>-19397091.200000003</v>
      </c>
      <c r="G15" s="2">
        <f>F15*(1+'Stitch Assumptions'!$B$25*'Stitch Assumptions'!$B$29)</f>
        <v>-21142829.408000004</v>
      </c>
      <c r="H15" s="2">
        <f>G15*(1+'Stitch Assumptions'!$B$26*'Stitch Assumptions'!$B$29)</f>
        <v>-23045684.054720007</v>
      </c>
      <c r="I15" s="2">
        <f>H15*(1+'Stitch Assumptions'!$B$27*'Stitch Assumptions'!$B$29)</f>
        <v>-24704973.306659847</v>
      </c>
    </row>
    <row r="16" spans="1:9" x14ac:dyDescent="1.4">
      <c r="A16" t="s">
        <v>52</v>
      </c>
      <c r="B16" s="3">
        <f>-B15/B6</f>
        <v>0.45090909090909093</v>
      </c>
      <c r="C16" s="3">
        <f t="shared" ref="C16:D16" si="9">-C15/C6</f>
        <v>0.44</v>
      </c>
      <c r="D16" s="3">
        <f t="shared" si="9"/>
        <v>0.43888888888888888</v>
      </c>
      <c r="E16" s="3">
        <f t="shared" ref="E16" si="10">-E15/E6</f>
        <v>0.41210922787193971</v>
      </c>
      <c r="F16" s="3">
        <f t="shared" ref="F16" si="11">-F15/F6</f>
        <v>0.38696358006958415</v>
      </c>
      <c r="G16" s="3">
        <f t="shared" ref="G16" si="12">-G15/G6</f>
        <v>0.3667741758920407</v>
      </c>
      <c r="H16" s="3">
        <f t="shared" ref="H16" si="13">-H15/H6</f>
        <v>0.34763813193245602</v>
      </c>
      <c r="I16" s="3">
        <f t="shared" ref="I16" si="14">-I15/I6</f>
        <v>0.33273935484963646</v>
      </c>
    </row>
    <row r="18" spans="1:9" x14ac:dyDescent="1.4">
      <c r="A18" t="s">
        <v>53</v>
      </c>
    </row>
    <row r="19" spans="1:9" x14ac:dyDescent="1.4">
      <c r="A19" t="s">
        <v>53</v>
      </c>
      <c r="B19" s="2">
        <f>B15+B11</f>
        <v>3000000.0000000019</v>
      </c>
      <c r="C19" s="2">
        <f t="shared" ref="C19:I19" si="15">C15+C11</f>
        <v>4225000</v>
      </c>
      <c r="D19" s="2">
        <f t="shared" si="15"/>
        <v>5440000</v>
      </c>
      <c r="E19" s="2">
        <f t="shared" si="15"/>
        <v>7981600</v>
      </c>
      <c r="F19" s="2">
        <f t="shared" si="15"/>
        <v>11180012.799999997</v>
      </c>
      <c r="G19" s="2">
        <f t="shared" si="15"/>
        <v>14597293.791999992</v>
      </c>
      <c r="H19" s="2">
        <f t="shared" si="15"/>
        <v>18718379.265279986</v>
      </c>
      <c r="I19" s="2">
        <f t="shared" si="15"/>
        <v>22813249.84854015</v>
      </c>
    </row>
    <row r="20" spans="1:9" x14ac:dyDescent="1.4">
      <c r="A20" t="s">
        <v>54</v>
      </c>
      <c r="B20" s="3">
        <f>B19/B6</f>
        <v>0.10909090909090915</v>
      </c>
      <c r="C20" s="3">
        <f t="shared" ref="C20:D20" si="16">C19/C6</f>
        <v>0.13</v>
      </c>
      <c r="D20" s="3">
        <f t="shared" si="16"/>
        <v>0.15111111111111111</v>
      </c>
      <c r="E20" s="3">
        <f t="shared" ref="E20" si="17">E19/E6</f>
        <v>0.18789077212806027</v>
      </c>
      <c r="F20" s="3">
        <f t="shared" ref="F20" si="18">F19/F6</f>
        <v>0.22303641993041584</v>
      </c>
      <c r="G20" s="3">
        <f t="shared" ref="G20" si="19">G19/G6</f>
        <v>0.2532258241079593</v>
      </c>
      <c r="H20" s="3">
        <f t="shared" ref="H20" si="20">H19/H6</f>
        <v>0.28236186806754399</v>
      </c>
      <c r="I20" s="3">
        <f t="shared" ref="I20" si="21">I19/I6</f>
        <v>0.30726064515036355</v>
      </c>
    </row>
    <row r="22" spans="1:9" x14ac:dyDescent="1.4">
      <c r="A22" t="s">
        <v>55</v>
      </c>
    </row>
    <row r="23" spans="1:9" x14ac:dyDescent="1.4">
      <c r="A23" t="s">
        <v>56</v>
      </c>
    </row>
    <row r="25" spans="1:9" x14ac:dyDescent="1.4">
      <c r="A25" t="s">
        <v>57</v>
      </c>
    </row>
    <row r="26" spans="1:9" x14ac:dyDescent="1.4">
      <c r="A26" t="s">
        <v>57</v>
      </c>
    </row>
    <row r="27" spans="1:9" x14ac:dyDescent="1.4">
      <c r="A27"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CCD51-8655-4739-9790-16BB86E537C5}">
  <dimension ref="A1:G28"/>
  <sheetViews>
    <sheetView topLeftCell="A12" zoomScale="39" zoomScaleNormal="45" workbookViewId="0">
      <selection activeCell="E24" sqref="E24"/>
    </sheetView>
  </sheetViews>
  <sheetFormatPr defaultRowHeight="46.9" x14ac:dyDescent="1.4"/>
  <cols>
    <col min="1" max="1" width="29.7109375" bestFit="1" customWidth="1"/>
    <col min="2" max="7" width="14.734375" bestFit="1" customWidth="1"/>
  </cols>
  <sheetData>
    <row r="1" spans="1:2" x14ac:dyDescent="1.4">
      <c r="A1" t="s">
        <v>68</v>
      </c>
    </row>
    <row r="3" spans="1:2" x14ac:dyDescent="1.4">
      <c r="A3" t="s">
        <v>69</v>
      </c>
    </row>
    <row r="4" spans="1:2" x14ac:dyDescent="1.4">
      <c r="A4" t="s">
        <v>70</v>
      </c>
      <c r="B4" s="2">
        <f>'Stitch Assumptions'!$B$33</f>
        <v>24480000</v>
      </c>
    </row>
    <row r="5" spans="1:2" x14ac:dyDescent="1.4">
      <c r="A5" t="s">
        <v>42</v>
      </c>
      <c r="B5" s="2">
        <f>'Stitch Assumptions'!$B$34</f>
        <v>42145000</v>
      </c>
    </row>
    <row r="6" spans="1:2" x14ac:dyDescent="1.4">
      <c r="A6" t="s">
        <v>71</v>
      </c>
      <c r="B6" s="2">
        <f>B4+B5</f>
        <v>66625000</v>
      </c>
    </row>
    <row r="8" spans="1:2" x14ac:dyDescent="1.4">
      <c r="A8" t="s">
        <v>72</v>
      </c>
    </row>
    <row r="9" spans="1:2" x14ac:dyDescent="1.4">
      <c r="A9" t="s">
        <v>73</v>
      </c>
      <c r="B9" s="2">
        <f>'Stitch Assumptions'!$B$7</f>
        <v>65000000</v>
      </c>
    </row>
    <row r="10" spans="1:2" x14ac:dyDescent="1.4">
      <c r="A10" t="s">
        <v>74</v>
      </c>
      <c r="B10" s="2">
        <f>'Stitch Assumptions'!$B$36</f>
        <v>1625000</v>
      </c>
    </row>
    <row r="11" spans="1:2" x14ac:dyDescent="1.4">
      <c r="A11" t="s">
        <v>75</v>
      </c>
      <c r="B11" s="2">
        <f>B9+B10</f>
        <v>66625000</v>
      </c>
    </row>
    <row r="13" spans="1:2" x14ac:dyDescent="1.4">
      <c r="A13" t="s">
        <v>76</v>
      </c>
    </row>
    <row r="14" spans="1:2" x14ac:dyDescent="1.4">
      <c r="A14" t="s">
        <v>77</v>
      </c>
      <c r="B14" s="2">
        <f>B6-B11</f>
        <v>0</v>
      </c>
    </row>
    <row r="16" spans="1:2" x14ac:dyDescent="1.4">
      <c r="A16" t="s">
        <v>78</v>
      </c>
    </row>
    <row r="18" spans="1:7" x14ac:dyDescent="1.4">
      <c r="B18" t="s">
        <v>88</v>
      </c>
      <c r="C18" t="s">
        <v>89</v>
      </c>
      <c r="D18" t="s">
        <v>90</v>
      </c>
      <c r="E18" t="s">
        <v>91</v>
      </c>
      <c r="F18" t="s">
        <v>92</v>
      </c>
      <c r="G18" t="s">
        <v>93</v>
      </c>
    </row>
    <row r="19" spans="1:7" x14ac:dyDescent="1.4">
      <c r="A19" t="s">
        <v>79</v>
      </c>
      <c r="B19" s="2"/>
      <c r="C19" s="2">
        <f>B4</f>
        <v>24480000</v>
      </c>
      <c r="D19" s="2">
        <f>C24</f>
        <v>19218000</v>
      </c>
      <c r="E19" s="2">
        <f>D24</f>
        <v>11182272.900000002</v>
      </c>
      <c r="F19" s="2">
        <f>E24</f>
        <v>11039.500125007704</v>
      </c>
      <c r="G19" s="2">
        <f>F24</f>
        <v>0</v>
      </c>
    </row>
    <row r="20" spans="1:7" x14ac:dyDescent="1.4">
      <c r="A20" t="s">
        <v>80</v>
      </c>
      <c r="C20" s="1">
        <f>-C19*'Stitch Assumptions'!$B$39</f>
        <v>-2325600</v>
      </c>
      <c r="D20" s="1">
        <f>-D19*'Stitch Assumptions'!$B$39</f>
        <v>-1825710</v>
      </c>
      <c r="E20" s="1">
        <f>-E19*'Stitch Assumptions'!$B$39</f>
        <v>-1062315.9255000001</v>
      </c>
      <c r="F20" s="1">
        <f>-F19*'Stitch Assumptions'!$B$39</f>
        <v>-1048.7525118757319</v>
      </c>
      <c r="G20" s="1">
        <f>-G19*'Stitch Assumptions'!$B$39</f>
        <v>0</v>
      </c>
    </row>
    <row r="21" spans="1:7" x14ac:dyDescent="1.4">
      <c r="A21" t="s">
        <v>81</v>
      </c>
      <c r="C21" s="1">
        <f>-MIN('Stitch Assumptions'!$B$33/'Stitch Assumptions'!$B$40, C19)</f>
        <v>-4080000</v>
      </c>
      <c r="D21" s="1">
        <f>IF(C24=0, 0, -MIN('Stitch Assumptions'!$B$33/'Stitch Assumptions'!$B$40, C24))</f>
        <v>-4080000</v>
      </c>
      <c r="E21" s="1">
        <f>IF(D24=0, 0, -MIN('Stitch Assumptions'!$B$33/'Stitch Assumptions'!$B$40, D24))</f>
        <v>-4080000</v>
      </c>
      <c r="F21" s="1">
        <f>IF(E24=0, 0, -MIN('Stitch Assumptions'!$B$33/'Stitch Assumptions'!$B$40, E24))</f>
        <v>-11039.500125007704</v>
      </c>
      <c r="G21" s="1">
        <f>IF(F24=0, 0, -MIN('Stitch Assumptions'!$B$33/'Stitch Assumptions'!$B$40, F24))</f>
        <v>0</v>
      </c>
    </row>
    <row r="22" spans="1:7" x14ac:dyDescent="1.4">
      <c r="A22" t="s">
        <v>82</v>
      </c>
      <c r="C22" s="2">
        <f>'Operating Model'!E19+'Sources &amp; Uses + Debt Schedule'!C20+'Sources &amp; Uses + Debt Schedule'!C21</f>
        <v>1576000</v>
      </c>
      <c r="D22" s="2">
        <f>'Operating Model'!F19+'Sources &amp; Uses + Debt Schedule'!D20+'Sources &amp; Uses + Debt Schedule'!D21</f>
        <v>5274302.799999997</v>
      </c>
      <c r="E22" s="2">
        <f>'Operating Model'!G19+'Sources &amp; Uses + Debt Schedule'!E20+'Sources &amp; Uses + Debt Schedule'!E21</f>
        <v>9454977.8664999921</v>
      </c>
      <c r="F22" s="2">
        <f>'Operating Model'!H19+'Sources &amp; Uses + Debt Schedule'!F20+'Sources &amp; Uses + Debt Schedule'!F21</f>
        <v>18706291.012643099</v>
      </c>
      <c r="G22" s="2">
        <f>'Operating Model'!I19+'Sources &amp; Uses + Debt Schedule'!G20+'Sources &amp; Uses + Debt Schedule'!G21</f>
        <v>22813249.84854015</v>
      </c>
    </row>
    <row r="23" spans="1:7" x14ac:dyDescent="1.4">
      <c r="A23" t="s">
        <v>83</v>
      </c>
      <c r="C23" s="1">
        <f>IF(C19=0, 0, -MIN(C22*'Stitch Assumptions'!$B$41, C19+C21))</f>
        <v>-1182000</v>
      </c>
      <c r="D23" s="1">
        <f>IF(D19=0, 0, -MIN(D22*'Stitch Assumptions'!$B$41, D19+D21))</f>
        <v>-3955727.0999999978</v>
      </c>
      <c r="E23" s="1">
        <f>IF(E19=0, 0, -MIN(E22*'Stitch Assumptions'!$B$41, E19+E21))</f>
        <v>-7091233.3998749945</v>
      </c>
      <c r="F23" s="1">
        <f>IF(F19=0, 0, -MIN(F22*'Stitch Assumptions'!$B$41, F19+F21))</f>
        <v>0</v>
      </c>
      <c r="G23" s="1">
        <f>IF(G19=0, 0, -MIN(G22*'Stitch Assumptions'!$B$41, G19+G21))</f>
        <v>0</v>
      </c>
    </row>
    <row r="24" spans="1:7" x14ac:dyDescent="1.4">
      <c r="A24" t="s">
        <v>84</v>
      </c>
      <c r="C24" s="2">
        <f>C19+C21+C23</f>
        <v>19218000</v>
      </c>
      <c r="D24" s="2">
        <f t="shared" ref="D24:G24" si="0">D19+D21+D23</f>
        <v>11182272.900000002</v>
      </c>
      <c r="E24" s="2">
        <f>E19+E21+E23</f>
        <v>11039.500125007704</v>
      </c>
      <c r="F24" s="2">
        <f t="shared" si="0"/>
        <v>0</v>
      </c>
      <c r="G24" s="2">
        <f t="shared" si="0"/>
        <v>0</v>
      </c>
    </row>
    <row r="26" spans="1:7" x14ac:dyDescent="1.4">
      <c r="A26" t="s">
        <v>85</v>
      </c>
    </row>
    <row r="27" spans="1:7" x14ac:dyDescent="1.4">
      <c r="A27" t="s">
        <v>86</v>
      </c>
      <c r="B27" s="2">
        <f>B4-G24</f>
        <v>24480000</v>
      </c>
    </row>
    <row r="28" spans="1:7" x14ac:dyDescent="1.4">
      <c r="A28" t="s">
        <v>87</v>
      </c>
      <c r="B28" s="2">
        <f>G24</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125D2-4A82-42A5-91F9-69968C130848}">
  <dimension ref="A1:G26"/>
  <sheetViews>
    <sheetView zoomScale="49" workbookViewId="0">
      <selection activeCell="B8" sqref="B8"/>
    </sheetView>
  </sheetViews>
  <sheetFormatPr defaultRowHeight="46.9" x14ac:dyDescent="1.4"/>
  <cols>
    <col min="1" max="1" width="28.58984375" bestFit="1" customWidth="1"/>
    <col min="2" max="2" width="16.0390625" bestFit="1" customWidth="1"/>
    <col min="3" max="3" width="12.34375" bestFit="1" customWidth="1"/>
    <col min="4" max="5" width="14" bestFit="1" customWidth="1"/>
    <col min="6" max="6" width="15.01953125" bestFit="1" customWidth="1"/>
    <col min="7" max="7" width="16.0390625" bestFit="1" customWidth="1"/>
  </cols>
  <sheetData>
    <row r="1" spans="1:2" x14ac:dyDescent="1.4">
      <c r="A1" s="8" t="s">
        <v>94</v>
      </c>
    </row>
    <row r="3" spans="1:2" x14ac:dyDescent="1.4">
      <c r="A3" s="8" t="s">
        <v>95</v>
      </c>
    </row>
    <row r="4" spans="1:2" x14ac:dyDescent="1.4">
      <c r="A4" t="s">
        <v>96</v>
      </c>
      <c r="B4" s="2">
        <f>'Operating Model'!I19</f>
        <v>22813249.84854015</v>
      </c>
    </row>
    <row r="5" spans="1:2" x14ac:dyDescent="1.4">
      <c r="A5" t="s">
        <v>37</v>
      </c>
      <c r="B5">
        <f>'Stitch Assumptions'!$B$45</f>
        <v>11</v>
      </c>
    </row>
    <row r="6" spans="1:2" x14ac:dyDescent="1.4">
      <c r="A6" t="s">
        <v>97</v>
      </c>
      <c r="B6" s="2">
        <f>B4*B5</f>
        <v>250945748.33394164</v>
      </c>
    </row>
    <row r="7" spans="1:2" x14ac:dyDescent="1.4">
      <c r="A7" t="s">
        <v>98</v>
      </c>
      <c r="B7" s="2">
        <f>-'Sources &amp; Uses + Debt Schedule'!G24</f>
        <v>0</v>
      </c>
    </row>
    <row r="8" spans="1:2" x14ac:dyDescent="1.4">
      <c r="A8" t="s">
        <v>99</v>
      </c>
      <c r="B8" s="1">
        <f>-B6*'Stitch Assumptions'!$B$46</f>
        <v>-3764186.2250091243</v>
      </c>
    </row>
    <row r="9" spans="1:2" x14ac:dyDescent="1.4">
      <c r="A9" t="s">
        <v>100</v>
      </c>
      <c r="B9" s="2">
        <f>B6+B7+B8</f>
        <v>247181562.10893252</v>
      </c>
    </row>
    <row r="11" spans="1:2" x14ac:dyDescent="1.4">
      <c r="A11" s="8" t="s">
        <v>101</v>
      </c>
    </row>
    <row r="12" spans="1:2" x14ac:dyDescent="1.4">
      <c r="A12" t="s">
        <v>102</v>
      </c>
      <c r="B12" s="2">
        <f>'Stitch Assumptions'!$B$34</f>
        <v>42145000</v>
      </c>
    </row>
    <row r="13" spans="1:2" x14ac:dyDescent="1.4">
      <c r="A13" t="s">
        <v>100</v>
      </c>
      <c r="B13" s="2">
        <f>Returns!B9</f>
        <v>247181562.10893252</v>
      </c>
    </row>
    <row r="14" spans="1:2" x14ac:dyDescent="1.4">
      <c r="A14" t="s">
        <v>103</v>
      </c>
      <c r="B14" s="11">
        <f>SUM(C26:G26)/(-B26)</f>
        <v>6.946907655397812</v>
      </c>
    </row>
    <row r="15" spans="1:2" x14ac:dyDescent="1.4">
      <c r="A15" t="s">
        <v>36</v>
      </c>
      <c r="B15">
        <f>'Stitch Assumptions'!$B$44</f>
        <v>5</v>
      </c>
    </row>
    <row r="16" spans="1:2" x14ac:dyDescent="1.4">
      <c r="A16" t="s">
        <v>104</v>
      </c>
      <c r="B16" s="4">
        <f>IRR(B26:G26)</f>
        <v>0.48990662932363027</v>
      </c>
    </row>
    <row r="18" spans="1:7" x14ac:dyDescent="1.4">
      <c r="A18" s="8" t="s">
        <v>105</v>
      </c>
    </row>
    <row r="19" spans="1:7" x14ac:dyDescent="1.4">
      <c r="A19" t="s">
        <v>106</v>
      </c>
      <c r="B19" s="2">
        <f>('Operating Model'!I19-'Operating Model'!D19)*'Stitch Assumptions'!$B$8</f>
        <v>208478998.1824818</v>
      </c>
    </row>
    <row r="20" spans="1:7" x14ac:dyDescent="1.4">
      <c r="A20" t="s">
        <v>107</v>
      </c>
      <c r="B20" s="1">
        <f>(B5-'Stitch Assumptions'!$B$8)*'Operating Model'!I19</f>
        <v>-22813249.84854015</v>
      </c>
    </row>
    <row r="21" spans="1:7" x14ac:dyDescent="1.4">
      <c r="A21" t="s">
        <v>108</v>
      </c>
      <c r="B21" s="2">
        <f>'Sources &amp; Uses + Debt Schedule'!B27</f>
        <v>24480000</v>
      </c>
    </row>
    <row r="22" spans="1:7" x14ac:dyDescent="1.4">
      <c r="A22" t="s">
        <v>109</v>
      </c>
      <c r="B22" s="9">
        <f>B19+B20+B21</f>
        <v>210145748.33394164</v>
      </c>
    </row>
    <row r="24" spans="1:7" x14ac:dyDescent="1.4">
      <c r="A24" s="8" t="s">
        <v>110</v>
      </c>
    </row>
    <row r="25" spans="1:7" x14ac:dyDescent="1.4">
      <c r="B25" t="s">
        <v>88</v>
      </c>
      <c r="C25" t="s">
        <v>89</v>
      </c>
      <c r="D25" t="s">
        <v>90</v>
      </c>
      <c r="E25" t="s">
        <v>112</v>
      </c>
      <c r="F25" t="s">
        <v>92</v>
      </c>
      <c r="G25" t="s">
        <v>93</v>
      </c>
    </row>
    <row r="26" spans="1:7" x14ac:dyDescent="1.4">
      <c r="A26" t="s">
        <v>111</v>
      </c>
      <c r="B26" s="9">
        <f>-B12</f>
        <v>-42145000</v>
      </c>
      <c r="C26" s="9">
        <f>'Operating Model'!E19+'Sources &amp; Uses + Debt Schedule'!C20+'Sources &amp; Uses + Debt Schedule'!C21+'Sources &amp; Uses + Debt Schedule'!C23</f>
        <v>394000</v>
      </c>
      <c r="D26" s="9">
        <f>'Operating Model'!F19+'Sources &amp; Uses + Debt Schedule'!D20+'Sources &amp; Uses + Debt Schedule'!D21+'Sources &amp; Uses + Debt Schedule'!D23</f>
        <v>1318575.6999999993</v>
      </c>
      <c r="E26" s="9">
        <f>'Operating Model'!G19+'Sources &amp; Uses + Debt Schedule'!E20+'Sources &amp; Uses + Debt Schedule'!E21+'Sources &amp; Uses + Debt Schedule'!E23</f>
        <v>2363744.4666249976</v>
      </c>
      <c r="F26" s="9">
        <f>'Operating Model'!H19+'Sources &amp; Uses + Debt Schedule'!F20+'Sources &amp; Uses + Debt Schedule'!F21+'Sources &amp; Uses + Debt Schedule'!F23</f>
        <v>18706291.012643099</v>
      </c>
      <c r="G26" s="9">
        <f>'Operating Model'!I19+'Sources &amp; Uses + Debt Schedule'!G20+'Sources &amp; Uses + Debt Schedule'!G21+'Sources &amp; Uses + Debt Schedule'!G23+B9</f>
        <v>269994811.95747268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8960EF-1CDD-4B27-9707-BCB2DB520815}">
  <dimension ref="A1:B67"/>
  <sheetViews>
    <sheetView tabSelected="1" zoomScale="32" workbookViewId="0">
      <selection activeCell="A9" sqref="A9"/>
    </sheetView>
  </sheetViews>
  <sheetFormatPr defaultRowHeight="46.9" x14ac:dyDescent="1.4"/>
  <cols>
    <col min="1" max="1" width="92.609375" bestFit="1" customWidth="1"/>
    <col min="2" max="2" width="15.8125" customWidth="1"/>
  </cols>
  <sheetData>
    <row r="1" spans="1:2" x14ac:dyDescent="1.4">
      <c r="A1" s="8" t="s">
        <v>113</v>
      </c>
    </row>
    <row r="3" spans="1:2" x14ac:dyDescent="1.4">
      <c r="A3" s="8" t="s">
        <v>114</v>
      </c>
    </row>
    <row r="4" spans="1:2" x14ac:dyDescent="1.4">
      <c r="A4" t="s">
        <v>115</v>
      </c>
    </row>
    <row r="5" spans="1:2" x14ac:dyDescent="1.4">
      <c r="A5" t="s">
        <v>116</v>
      </c>
    </row>
    <row r="6" spans="1:2" x14ac:dyDescent="1.4">
      <c r="A6" t="s">
        <v>117</v>
      </c>
    </row>
    <row r="7" spans="1:2" x14ac:dyDescent="1.4">
      <c r="A7" t="s">
        <v>118</v>
      </c>
    </row>
    <row r="8" spans="1:2" x14ac:dyDescent="1.4">
      <c r="A8" t="s">
        <v>119</v>
      </c>
    </row>
    <row r="9" spans="1:2" x14ac:dyDescent="1.4">
      <c r="A9" s="12">
        <v>46293</v>
      </c>
    </row>
    <row r="11" spans="1:2" x14ac:dyDescent="1.4">
      <c r="A11" s="8" t="s">
        <v>1</v>
      </c>
    </row>
    <row r="12" spans="1:2" x14ac:dyDescent="1.4">
      <c r="A12" t="s">
        <v>120</v>
      </c>
      <c r="B12" s="2">
        <f>'Stitch Assumptions'!B7</f>
        <v>65000000</v>
      </c>
    </row>
    <row r="13" spans="1:2" x14ac:dyDescent="1.4">
      <c r="A13" t="s">
        <v>121</v>
      </c>
      <c r="B13">
        <f>'Stitch Assumptions'!B8</f>
        <v>12</v>
      </c>
    </row>
    <row r="14" spans="1:2" x14ac:dyDescent="1.4">
      <c r="A14" t="s">
        <v>7</v>
      </c>
      <c r="B14" s="2">
        <f>'Stitch Assumptions'!B9</f>
        <v>5440000</v>
      </c>
    </row>
    <row r="15" spans="1:2" x14ac:dyDescent="1.4">
      <c r="A15" t="s">
        <v>122</v>
      </c>
      <c r="B15" s="2">
        <f>'Stitch Assumptions'!B33</f>
        <v>24480000</v>
      </c>
    </row>
    <row r="16" spans="1:2" x14ac:dyDescent="1.4">
      <c r="A16" t="s">
        <v>123</v>
      </c>
      <c r="B16" s="2">
        <f>'Stitch Assumptions'!B34</f>
        <v>42145000</v>
      </c>
    </row>
    <row r="17" spans="1:2" x14ac:dyDescent="1.4">
      <c r="A17" t="s">
        <v>124</v>
      </c>
      <c r="B17" s="2">
        <f>'Sources &amp; Uses + Debt Schedule'!B10</f>
        <v>1625000</v>
      </c>
    </row>
    <row r="19" spans="1:2" x14ac:dyDescent="1.4">
      <c r="A19" s="8" t="s">
        <v>125</v>
      </c>
    </row>
    <row r="21" spans="1:2" s="10" customFormat="1" ht="375" x14ac:dyDescent="1.4">
      <c r="A21" s="10" t="s">
        <v>140</v>
      </c>
    </row>
    <row r="24" spans="1:2" x14ac:dyDescent="1.4">
      <c r="A24" s="8" t="s">
        <v>126</v>
      </c>
    </row>
    <row r="28" spans="1:2" ht="409.5" x14ac:dyDescent="1.4">
      <c r="A28" s="10" t="s">
        <v>141</v>
      </c>
    </row>
    <row r="34" spans="1:2" x14ac:dyDescent="1.4">
      <c r="A34" s="8" t="s">
        <v>127</v>
      </c>
    </row>
    <row r="36" spans="1:2" ht="409.5" x14ac:dyDescent="1.4">
      <c r="A36" s="10" t="s">
        <v>142</v>
      </c>
    </row>
    <row r="42" spans="1:2" x14ac:dyDescent="1.4">
      <c r="A42" s="8" t="s">
        <v>101</v>
      </c>
    </row>
    <row r="43" spans="1:2" x14ac:dyDescent="1.4">
      <c r="A43" t="s">
        <v>128</v>
      </c>
      <c r="B43" s="3">
        <f>Returns!B16</f>
        <v>0.48990662932363027</v>
      </c>
    </row>
    <row r="44" spans="1:2" x14ac:dyDescent="1.4">
      <c r="A44" t="s">
        <v>129</v>
      </c>
      <c r="B44" s="3">
        <f>Returns!B14</f>
        <v>6.946907655397812</v>
      </c>
    </row>
    <row r="45" spans="1:2" x14ac:dyDescent="1.4">
      <c r="A45" t="s">
        <v>130</v>
      </c>
      <c r="B45">
        <f>Returns!B15</f>
        <v>5</v>
      </c>
    </row>
    <row r="46" spans="1:2" x14ac:dyDescent="1.4">
      <c r="A46" t="s">
        <v>131</v>
      </c>
      <c r="B46" s="2">
        <f>Returns!B22</f>
        <v>210145748.33394164</v>
      </c>
    </row>
    <row r="47" spans="1:2" x14ac:dyDescent="1.4">
      <c r="A47" t="s">
        <v>132</v>
      </c>
      <c r="B47">
        <f>Returns!B5</f>
        <v>11</v>
      </c>
    </row>
    <row r="48" spans="1:2" x14ac:dyDescent="1.4">
      <c r="A48" t="s">
        <v>133</v>
      </c>
    </row>
    <row r="50" spans="1:2" x14ac:dyDescent="1.4">
      <c r="A50" t="s">
        <v>134</v>
      </c>
    </row>
    <row r="51" spans="1:2" x14ac:dyDescent="1.4">
      <c r="A51" t="s">
        <v>135</v>
      </c>
      <c r="B51" s="2">
        <f>Returns!B19</f>
        <v>208478998.1824818</v>
      </c>
    </row>
    <row r="52" spans="1:2" x14ac:dyDescent="1.4">
      <c r="A52" t="s">
        <v>136</v>
      </c>
      <c r="B52" s="2">
        <f>Returns!B20</f>
        <v>-22813249.84854015</v>
      </c>
    </row>
    <row r="53" spans="1:2" x14ac:dyDescent="1.4">
      <c r="A53" t="s">
        <v>137</v>
      </c>
      <c r="B53" s="2">
        <f>Returns!B21</f>
        <v>24480000</v>
      </c>
    </row>
    <row r="55" spans="1:2" x14ac:dyDescent="1.4">
      <c r="A55" s="8" t="s">
        <v>138</v>
      </c>
    </row>
    <row r="57" spans="1:2" ht="409.5" x14ac:dyDescent="1.4">
      <c r="A57" s="10" t="s">
        <v>143</v>
      </c>
    </row>
    <row r="65" spans="1:1" x14ac:dyDescent="1.4">
      <c r="A65" s="8" t="s">
        <v>139</v>
      </c>
    </row>
    <row r="67" spans="1:1" ht="409.5" x14ac:dyDescent="1.4">
      <c r="A67" s="10" t="s">
        <v>144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Stitch Assumptions</vt:lpstr>
      <vt:lpstr>Operating Model</vt:lpstr>
      <vt:lpstr>Sources &amp; Uses + Debt Schedule</vt:lpstr>
      <vt:lpstr>Returns</vt:lpstr>
      <vt:lpstr>Investment Summary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Niky Witt</dc:creator>
  <cp:lastModifiedBy>Niky Witt</cp:lastModifiedBy>
  <dcterms:created xsi:type="dcterms:W3CDTF">2026-09-20T05:56:22Z</dcterms:created>
  <dcterms:modified xsi:type="dcterms:W3CDTF">2026-10-19T23:26:50Z</dcterms:modified>
</cp:coreProperties>
</file>