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4be5b9a86eb7a54/CRE/Online Portfolio/"/>
    </mc:Choice>
  </mc:AlternateContent>
  <xr:revisionPtr revIDLastSave="314" documentId="8_{74064E9B-7563-4784-BD19-9EE6ACDF9E32}" xr6:coauthVersionLast="47" xr6:coauthVersionMax="47" xr10:uidLastSave="{0B0B1E67-48BF-4045-BE61-CDB42CA965F5}"/>
  <bookViews>
    <workbookView xWindow="7358" yWindow="0" windowWidth="14242" windowHeight="13680" firstSheet="2" activeTab="3" xr2:uid="{22BBAEE3-BC78-4A17-800C-BB1B43210071}"/>
  </bookViews>
  <sheets>
    <sheet name="UNRL Assumptions" sheetId="1" r:id="rId1"/>
    <sheet name="UNRL Operating Model" sheetId="2" r:id="rId2"/>
    <sheet name="UNRL Sources &amp; Debt Uses" sheetId="3" r:id="rId3"/>
    <sheet name="UNRL Returns Analysi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7" i="4" l="1"/>
  <c r="D10" i="2"/>
  <c r="D11" i="2" s="1"/>
  <c r="G22" i="3"/>
  <c r="F23" i="3"/>
  <c r="D23" i="3"/>
  <c r="C23" i="3"/>
  <c r="C24" i="3" s="1"/>
  <c r="D21" i="3" s="1"/>
  <c r="B26" i="4"/>
  <c r="B20" i="4"/>
  <c r="B19" i="4"/>
  <c r="B15" i="4"/>
  <c r="B12" i="4"/>
  <c r="B8" i="4"/>
  <c r="B6" i="4"/>
  <c r="B5" i="4"/>
  <c r="B4" i="4"/>
  <c r="C22" i="3"/>
  <c r="C21" i="3"/>
  <c r="C20" i="3"/>
  <c r="C19" i="3"/>
  <c r="B14" i="3"/>
  <c r="B11" i="3"/>
  <c r="B10" i="3"/>
  <c r="B9" i="3"/>
  <c r="B6" i="3"/>
  <c r="B5" i="3"/>
  <c r="B4" i="3"/>
  <c r="F20" i="2"/>
  <c r="G20" i="2"/>
  <c r="H20" i="2"/>
  <c r="I20" i="2"/>
  <c r="J20" i="2"/>
  <c r="G19" i="2"/>
  <c r="H19" i="2"/>
  <c r="I19" i="2"/>
  <c r="J19" i="2"/>
  <c r="F19" i="2"/>
  <c r="G16" i="2"/>
  <c r="H16" i="2"/>
  <c r="I16" i="2"/>
  <c r="J16" i="2"/>
  <c r="F16" i="2"/>
  <c r="J15" i="2"/>
  <c r="I15" i="2"/>
  <c r="H15" i="2"/>
  <c r="G15" i="2"/>
  <c r="F15" i="2"/>
  <c r="G12" i="2"/>
  <c r="H12" i="2"/>
  <c r="I12" i="2"/>
  <c r="J12" i="2"/>
  <c r="F12" i="2"/>
  <c r="G11" i="2"/>
  <c r="H11" i="2"/>
  <c r="I11" i="2"/>
  <c r="J11" i="2"/>
  <c r="F11" i="2"/>
  <c r="J10" i="2"/>
  <c r="I10" i="2"/>
  <c r="H10" i="2"/>
  <c r="G10" i="2"/>
  <c r="F10" i="2"/>
  <c r="H7" i="2"/>
  <c r="I7" i="2"/>
  <c r="J7" i="2"/>
  <c r="G7" i="2"/>
  <c r="F7" i="2"/>
  <c r="J6" i="2"/>
  <c r="I6" i="2"/>
  <c r="H6" i="2"/>
  <c r="G6" i="2"/>
  <c r="F6" i="2"/>
  <c r="C20" i="2"/>
  <c r="E20" i="2"/>
  <c r="B20" i="2"/>
  <c r="C19" i="2"/>
  <c r="E19" i="2"/>
  <c r="B19" i="2"/>
  <c r="E16" i="2"/>
  <c r="D16" i="2"/>
  <c r="C16" i="2"/>
  <c r="B16" i="2"/>
  <c r="C12" i="2"/>
  <c r="E12" i="2"/>
  <c r="B12" i="2"/>
  <c r="C11" i="2"/>
  <c r="E11" i="2"/>
  <c r="B11" i="2"/>
  <c r="E10" i="2"/>
  <c r="C10" i="2"/>
  <c r="B10" i="2"/>
  <c r="D7" i="2"/>
  <c r="E7" i="2"/>
  <c r="C7" i="2"/>
  <c r="B36" i="1"/>
  <c r="B34" i="1"/>
  <c r="B33" i="1"/>
  <c r="D12" i="2" l="1"/>
  <c r="D19" i="2"/>
  <c r="D20" i="2" s="1"/>
  <c r="C26" i="4"/>
  <c r="D19" i="3"/>
  <c r="D20" i="3" l="1"/>
  <c r="D22" i="3" l="1"/>
  <c r="D24" i="3" s="1"/>
  <c r="E21" i="3" l="1"/>
  <c r="E19" i="3"/>
  <c r="D26" i="4"/>
  <c r="E20" i="3" l="1"/>
  <c r="E22" i="3" l="1"/>
  <c r="E23" i="3" l="1"/>
  <c r="E24" i="3" s="1"/>
  <c r="E26" i="4"/>
  <c r="F19" i="3" l="1"/>
  <c r="F20" i="3" s="1"/>
  <c r="F21" i="3"/>
  <c r="F22" i="3"/>
  <c r="F24" i="3" l="1"/>
  <c r="F26" i="4"/>
  <c r="G19" i="3" l="1"/>
  <c r="G21" i="3"/>
  <c r="G23" i="3" l="1"/>
  <c r="G20" i="3"/>
  <c r="G24" i="3"/>
  <c r="B28" i="3" l="1"/>
  <c r="B27" i="3"/>
  <c r="B21" i="4" s="1"/>
  <c r="B22" i="4" s="1"/>
  <c r="B9" i="4"/>
  <c r="B13" i="4" s="1"/>
  <c r="G26" i="4" l="1"/>
  <c r="B16" i="4" l="1"/>
  <c r="B14" i="4"/>
</calcChain>
</file>

<file path=xl/sharedStrings.xml><?xml version="1.0" encoding="utf-8"?>
<sst xmlns="http://schemas.openxmlformats.org/spreadsheetml/2006/main" count="121" uniqueCount="110">
  <si>
    <t>ASSUMPTIONS</t>
  </si>
  <si>
    <t>TRANSACTION OVERVIEW</t>
  </si>
  <si>
    <t>Company Name</t>
  </si>
  <si>
    <t>Target Sector</t>
  </si>
  <si>
    <t>Transaction Type</t>
  </si>
  <si>
    <t>Enterprise Value</t>
  </si>
  <si>
    <t>Base Year EBITDA (LTM 2026)</t>
  </si>
  <si>
    <t>HISTORICAL FINANCIALS ($M)</t>
  </si>
  <si>
    <t>Revenue 2023E</t>
  </si>
  <si>
    <t>Revenue 2024E</t>
  </si>
  <si>
    <t>Revenue 2025E</t>
  </si>
  <si>
    <t>Revenue 2026E (LTM)</t>
  </si>
  <si>
    <t>Gross Margin 2023E</t>
  </si>
  <si>
    <t>Gross Margin 2024E</t>
  </si>
  <si>
    <t>Gross Margin 2025E</t>
  </si>
  <si>
    <t>Gross Margin 2026E</t>
  </si>
  <si>
    <t>EBITDA Margin 2026E</t>
  </si>
  <si>
    <t>Growth Assumptions (Base Case)</t>
  </si>
  <si>
    <t>Revenue Growth Year 1</t>
  </si>
  <si>
    <t>Revenue Growth Year 2</t>
  </si>
  <si>
    <t>Revenue Growth Year 3</t>
  </si>
  <si>
    <t>Revenue Growth Year 4</t>
  </si>
  <si>
    <t>Revenue Growth Year 5</t>
  </si>
  <si>
    <t>Annual Gross Margin Expansion</t>
  </si>
  <si>
    <t>OpEx Growth Ratio (% of revenue)</t>
  </si>
  <si>
    <t>CAPITAL STRUCTURE</t>
  </si>
  <si>
    <t>Senior Debt (turns of EBITDA)</t>
  </si>
  <si>
    <t>Senior Debt Amount</t>
  </si>
  <si>
    <t>Sponsor Equity</t>
  </si>
  <si>
    <t>Transaction Fees (% of EV)</t>
  </si>
  <si>
    <t>Transaction Fees Amount</t>
  </si>
  <si>
    <t>DEBT TERMS</t>
  </si>
  <si>
    <t>Interest Rate</t>
  </si>
  <si>
    <t>Amortization / Term (years)</t>
  </si>
  <si>
    <t>Cash Sweep %</t>
  </si>
  <si>
    <t>EXIT ASSUMPTIONS</t>
  </si>
  <si>
    <t>Hold Period (years)</t>
  </si>
  <si>
    <t>Exit Transaction Fees (% of EV)</t>
  </si>
  <si>
    <t>UNRL Apparel, Inc.</t>
  </si>
  <si>
    <t>Athleisure &amp; Golf Lifestyle Apparel</t>
  </si>
  <si>
    <t>Sponsor-Led Buyout</t>
  </si>
  <si>
    <t>OPERATING MODEL</t>
  </si>
  <si>
    <t>REVENUE</t>
  </si>
  <si>
    <t>Revenue</t>
  </si>
  <si>
    <t>YoY Growth %</t>
  </si>
  <si>
    <t>GROSS PROFIT</t>
  </si>
  <si>
    <t>Cost of Goods Sold</t>
  </si>
  <si>
    <t>Gross Profit</t>
  </si>
  <si>
    <t>Gross Margin %</t>
  </si>
  <si>
    <t>OPERATING EXPENSES</t>
  </si>
  <si>
    <t>Total Opex</t>
  </si>
  <si>
    <t>OpEx as % of Revenue</t>
  </si>
  <si>
    <t>EBITDA</t>
  </si>
  <si>
    <t>EBITDA Margin %</t>
  </si>
  <si>
    <t>2023A</t>
  </si>
  <si>
    <t>2024A</t>
  </si>
  <si>
    <t>2025A</t>
  </si>
  <si>
    <t>2026A (LTM)</t>
  </si>
  <si>
    <t>2027E (Year 1)</t>
  </si>
  <si>
    <t>2028E (Year 2)</t>
  </si>
  <si>
    <t>2029E (Year 3)</t>
  </si>
  <si>
    <t>2030E (Year 4)</t>
  </si>
  <si>
    <t>2031E (Year 5)</t>
  </si>
  <si>
    <t>SOURCES &amp; USES + DEBT SCHEDULE</t>
  </si>
  <si>
    <t>SOURCES OF FUNDS ($)</t>
  </si>
  <si>
    <t>Senior Debt</t>
  </si>
  <si>
    <t>Total Sources</t>
  </si>
  <si>
    <t>USES OF FUNDS ($)</t>
  </si>
  <si>
    <t>Purchase Enterprise Value</t>
  </si>
  <si>
    <t>Transaction Fees</t>
  </si>
  <si>
    <t>Total Uses</t>
  </si>
  <si>
    <t>BALANCE CHECK</t>
  </si>
  <si>
    <t>Sources - Uses</t>
  </si>
  <si>
    <t>DEBT SCHEDULE</t>
  </si>
  <si>
    <t>Beginning Balance</t>
  </si>
  <si>
    <t>Interest Expense</t>
  </si>
  <si>
    <t>Mandatory Amortization</t>
  </si>
  <si>
    <t>Cash Available for Sweep</t>
  </si>
  <si>
    <t>Cash Sweep Applied</t>
  </si>
  <si>
    <t>Ending Balance</t>
  </si>
  <si>
    <t>DEBT PAYDOWN SUMMARY</t>
  </si>
  <si>
    <t>Cumulative Debt Paid</t>
  </si>
  <si>
    <t>Remaining Debt at Exit</t>
  </si>
  <si>
    <t>At Close</t>
  </si>
  <si>
    <t>Year 1 (2027)</t>
  </si>
  <si>
    <t>Year 2 (2028)</t>
  </si>
  <si>
    <t>Year 3 (2029)</t>
  </si>
  <si>
    <t>Year 4 (2030)</t>
  </si>
  <si>
    <t>Year 5 (2031)</t>
  </si>
  <si>
    <t>RETURNS ANALYSIS</t>
  </si>
  <si>
    <t>EXIT VALUE CALCULATION</t>
  </si>
  <si>
    <t>Exit Year EBITDA (2031)</t>
  </si>
  <si>
    <t>Exit Enterprise Value</t>
  </si>
  <si>
    <t>Less: Remaining Debt at Exit</t>
  </si>
  <si>
    <t>Less: Exit Transaction Fees</t>
  </si>
  <si>
    <t>Equity Proceeds at Exit</t>
  </si>
  <si>
    <t>Exit EBITDA Multiple</t>
  </si>
  <si>
    <t>RETURNS SUMMARY</t>
  </si>
  <si>
    <t>Initial Sponsor Equity Invested</t>
  </si>
  <si>
    <t>Money-on-Invested Capital (MOIC)</t>
  </si>
  <si>
    <t>Levered IRR</t>
  </si>
  <si>
    <t>RETURNS BRIDGE</t>
  </si>
  <si>
    <t>EBITDA Growth Contribution</t>
  </si>
  <si>
    <t>Multiple Change Contribution</t>
  </si>
  <si>
    <t>Debt Paydown Contribution</t>
  </si>
  <si>
    <t>Total Value Creation</t>
  </si>
  <si>
    <t>CASH FLOW SCHEDULE</t>
  </si>
  <si>
    <t>(year headers)</t>
  </si>
  <si>
    <t>Equity Cash Flow</t>
  </si>
  <si>
    <t>Entry EBITDA Multiple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</si>
</sst>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.0%"/>
    <numFmt numFmtId="165" formatCode="0.0\x"/>
  </numFmts>
  <fonts count="3" x14ac:knownFonts="1">
    <font>
      <sz val="36"/>
      <color theme="1"/>
      <name val="Aptos Narrow"/>
      <family val="2"/>
      <scheme val="minor"/>
    </font>
    <font>
      <sz val="36"/>
      <color theme="1"/>
      <name val="Aptos Narrow"/>
      <family val="2"/>
      <scheme val="minor"/>
    </font>
    <font>
      <sz val="1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">
    <xf numFmtId="0" fontId="0" fillId="0" borderId="0" xfId="0"/>
    <xf numFmtId="44" fontId="0" fillId="0" borderId="0" xfId="1" applyFont="1"/>
    <xf numFmtId="9" fontId="0" fillId="0" borderId="0" xfId="2" applyFont="1"/>
    <xf numFmtId="164" fontId="0" fillId="0" borderId="0" xfId="2" applyNumberFormat="1" applyFont="1"/>
    <xf numFmtId="165" fontId="0" fillId="0" borderId="0" xfId="0" applyNumberFormat="1"/>
    <xf numFmtId="10" fontId="0" fillId="0" borderId="0" xfId="2" applyNumberFormat="1" applyFont="1"/>
    <xf numFmtId="44" fontId="0" fillId="0" borderId="0" xfId="0" applyNumberFormat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621D3-4ED4-463D-8C5A-A404D7A1BD32}">
  <dimension ref="A1:B46"/>
  <sheetViews>
    <sheetView topLeftCell="A3" zoomScale="62" workbookViewId="0">
      <selection activeCell="A9" sqref="A9"/>
    </sheetView>
  </sheetViews>
  <sheetFormatPr defaultRowHeight="46.9" x14ac:dyDescent="1.4"/>
  <cols>
    <col min="1" max="1" width="26.95703125" bestFit="1" customWidth="1"/>
    <col min="2" max="2" width="27.203125" bestFit="1" customWidth="1"/>
  </cols>
  <sheetData>
    <row r="1" spans="1:2" x14ac:dyDescent="1.4">
      <c r="A1" t="s">
        <v>0</v>
      </c>
    </row>
    <row r="3" spans="1:2" x14ac:dyDescent="1.4">
      <c r="A3" t="s">
        <v>1</v>
      </c>
    </row>
    <row r="4" spans="1:2" x14ac:dyDescent="1.4">
      <c r="A4" t="s">
        <v>2</v>
      </c>
      <c r="B4" t="s">
        <v>38</v>
      </c>
    </row>
    <row r="5" spans="1:2" x14ac:dyDescent="1.4">
      <c r="A5" t="s">
        <v>3</v>
      </c>
      <c r="B5" t="s">
        <v>39</v>
      </c>
    </row>
    <row r="6" spans="1:2" x14ac:dyDescent="1.4">
      <c r="A6" t="s">
        <v>4</v>
      </c>
      <c r="B6" t="s">
        <v>40</v>
      </c>
    </row>
    <row r="7" spans="1:2" x14ac:dyDescent="1.4">
      <c r="A7" t="s">
        <v>5</v>
      </c>
      <c r="B7" s="1">
        <v>120000000</v>
      </c>
    </row>
    <row r="8" spans="1:2" x14ac:dyDescent="1.4">
      <c r="A8" t="s">
        <v>109</v>
      </c>
      <c r="B8" s="4">
        <v>10</v>
      </c>
    </row>
    <row r="9" spans="1:2" x14ac:dyDescent="1.4">
      <c r="A9" t="s">
        <v>6</v>
      </c>
      <c r="B9" s="1">
        <v>12000000</v>
      </c>
    </row>
    <row r="11" spans="1:2" x14ac:dyDescent="1.4">
      <c r="A11" t="s">
        <v>7</v>
      </c>
    </row>
    <row r="12" spans="1:2" x14ac:dyDescent="1.4">
      <c r="A12" t="s">
        <v>8</v>
      </c>
      <c r="B12" s="1">
        <v>45000000</v>
      </c>
    </row>
    <row r="13" spans="1:2" x14ac:dyDescent="1.4">
      <c r="A13" t="s">
        <v>9</v>
      </c>
      <c r="B13" s="1">
        <v>60000000</v>
      </c>
    </row>
    <row r="14" spans="1:2" x14ac:dyDescent="1.4">
      <c r="A14" t="s">
        <v>10</v>
      </c>
      <c r="B14" s="1">
        <v>75000000</v>
      </c>
    </row>
    <row r="15" spans="1:2" x14ac:dyDescent="1.4">
      <c r="A15" t="s">
        <v>11</v>
      </c>
      <c r="B15" s="1">
        <v>85000000</v>
      </c>
    </row>
    <row r="16" spans="1:2" x14ac:dyDescent="1.4">
      <c r="A16" t="s">
        <v>12</v>
      </c>
      <c r="B16" s="2">
        <v>0.55000000000000004</v>
      </c>
    </row>
    <row r="17" spans="1:2" x14ac:dyDescent="1.4">
      <c r="A17" t="s">
        <v>13</v>
      </c>
      <c r="B17" s="2">
        <v>0.56999999999999995</v>
      </c>
    </row>
    <row r="18" spans="1:2" x14ac:dyDescent="1.4">
      <c r="A18" t="s">
        <v>14</v>
      </c>
      <c r="B18" s="2">
        <v>0.57999999999999996</v>
      </c>
    </row>
    <row r="19" spans="1:2" x14ac:dyDescent="1.4">
      <c r="A19" t="s">
        <v>15</v>
      </c>
      <c r="B19" s="2">
        <v>0.6</v>
      </c>
    </row>
    <row r="20" spans="1:2" x14ac:dyDescent="1.4">
      <c r="A20" t="s">
        <v>16</v>
      </c>
      <c r="B20" s="3">
        <v>0.14099999999999999</v>
      </c>
    </row>
    <row r="22" spans="1:2" x14ac:dyDescent="1.4">
      <c r="A22" t="s">
        <v>17</v>
      </c>
    </row>
    <row r="23" spans="1:2" x14ac:dyDescent="1.4">
      <c r="A23" t="s">
        <v>18</v>
      </c>
      <c r="B23" s="2">
        <v>0.2</v>
      </c>
    </row>
    <row r="24" spans="1:2" x14ac:dyDescent="1.4">
      <c r="A24" t="s">
        <v>19</v>
      </c>
      <c r="B24" s="2">
        <v>0.2</v>
      </c>
    </row>
    <row r="25" spans="1:2" x14ac:dyDescent="1.4">
      <c r="A25" t="s">
        <v>20</v>
      </c>
      <c r="B25" s="2">
        <v>0.15</v>
      </c>
    </row>
    <row r="26" spans="1:2" x14ac:dyDescent="1.4">
      <c r="A26" t="s">
        <v>21</v>
      </c>
      <c r="B26" s="2">
        <v>0.15</v>
      </c>
    </row>
    <row r="27" spans="1:2" x14ac:dyDescent="1.4">
      <c r="A27" t="s">
        <v>22</v>
      </c>
      <c r="B27" s="2">
        <v>0.1</v>
      </c>
    </row>
    <row r="28" spans="1:2" x14ac:dyDescent="1.4">
      <c r="A28" t="s">
        <v>23</v>
      </c>
      <c r="B28" s="2">
        <v>0.01</v>
      </c>
    </row>
    <row r="29" spans="1:2" x14ac:dyDescent="1.4">
      <c r="A29" t="s">
        <v>24</v>
      </c>
      <c r="B29" s="2">
        <v>0.55000000000000004</v>
      </c>
    </row>
    <row r="31" spans="1:2" x14ac:dyDescent="1.4">
      <c r="A31" t="s">
        <v>25</v>
      </c>
    </row>
    <row r="32" spans="1:2" x14ac:dyDescent="1.4">
      <c r="A32" t="s">
        <v>26</v>
      </c>
      <c r="B32" s="4">
        <v>4.5</v>
      </c>
    </row>
    <row r="33" spans="1:2" x14ac:dyDescent="1.4">
      <c r="A33" t="s">
        <v>27</v>
      </c>
      <c r="B33" s="1">
        <f>B9*B32</f>
        <v>54000000</v>
      </c>
    </row>
    <row r="34" spans="1:2" x14ac:dyDescent="1.4">
      <c r="A34" t="s">
        <v>28</v>
      </c>
      <c r="B34" s="1">
        <f>B7+B36-B33</f>
        <v>69000000</v>
      </c>
    </row>
    <row r="35" spans="1:2" x14ac:dyDescent="1.4">
      <c r="A35" t="s">
        <v>29</v>
      </c>
      <c r="B35" s="3">
        <v>2.5000000000000001E-2</v>
      </c>
    </row>
    <row r="36" spans="1:2" x14ac:dyDescent="1.4">
      <c r="A36" t="s">
        <v>30</v>
      </c>
      <c r="B36" s="1">
        <f>B7*B35</f>
        <v>3000000</v>
      </c>
    </row>
    <row r="38" spans="1:2" x14ac:dyDescent="1.4">
      <c r="A38" t="s">
        <v>31</v>
      </c>
    </row>
    <row r="39" spans="1:2" x14ac:dyDescent="1.4">
      <c r="A39" t="s">
        <v>32</v>
      </c>
      <c r="B39" s="2">
        <v>0.09</v>
      </c>
    </row>
    <row r="40" spans="1:2" x14ac:dyDescent="1.4">
      <c r="A40" t="s">
        <v>33</v>
      </c>
      <c r="B40">
        <v>6</v>
      </c>
    </row>
    <row r="41" spans="1:2" x14ac:dyDescent="1.4">
      <c r="A41" t="s">
        <v>34</v>
      </c>
      <c r="B41" s="2">
        <v>0.75</v>
      </c>
    </row>
    <row r="43" spans="1:2" x14ac:dyDescent="1.4">
      <c r="A43" t="s">
        <v>35</v>
      </c>
    </row>
    <row r="44" spans="1:2" x14ac:dyDescent="1.4">
      <c r="A44" t="s">
        <v>36</v>
      </c>
      <c r="B44">
        <v>5</v>
      </c>
    </row>
    <row r="45" spans="1:2" x14ac:dyDescent="1.4">
      <c r="A45" t="s">
        <v>96</v>
      </c>
      <c r="B45" s="4">
        <v>9</v>
      </c>
    </row>
    <row r="46" spans="1:2" x14ac:dyDescent="1.4">
      <c r="A46" t="s">
        <v>37</v>
      </c>
      <c r="B46" s="2">
        <v>1.4999999999999999E-2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C0937-7D6F-495E-A499-AE461117D1FF}">
  <dimension ref="A1:J20"/>
  <sheetViews>
    <sheetView topLeftCell="A4" zoomScale="42" workbookViewId="0">
      <selection activeCell="D11" sqref="D11"/>
    </sheetView>
  </sheetViews>
  <sheetFormatPr defaultRowHeight="46.9" x14ac:dyDescent="1.4"/>
  <cols>
    <col min="1" max="1" width="19.1015625" bestFit="1" customWidth="1"/>
    <col min="2" max="5" width="15.52734375" bestFit="1" customWidth="1"/>
    <col min="6" max="10" width="15.9375" bestFit="1" customWidth="1"/>
  </cols>
  <sheetData>
    <row r="1" spans="1:10" x14ac:dyDescent="1.4">
      <c r="A1" t="s">
        <v>41</v>
      </c>
    </row>
    <row r="3" spans="1:10" x14ac:dyDescent="1.4">
      <c r="B3" t="s">
        <v>54</v>
      </c>
      <c r="C3" t="s">
        <v>55</v>
      </c>
      <c r="D3" t="s">
        <v>56</v>
      </c>
      <c r="E3" t="s">
        <v>57</v>
      </c>
      <c r="F3" t="s">
        <v>58</v>
      </c>
      <c r="G3" t="s">
        <v>59</v>
      </c>
      <c r="H3" t="s">
        <v>60</v>
      </c>
      <c r="I3" t="s">
        <v>61</v>
      </c>
      <c r="J3" t="s">
        <v>62</v>
      </c>
    </row>
    <row r="5" spans="1:10" x14ac:dyDescent="1.4">
      <c r="A5" t="s">
        <v>42</v>
      </c>
    </row>
    <row r="6" spans="1:10" x14ac:dyDescent="1.4">
      <c r="A6" t="s">
        <v>43</v>
      </c>
      <c r="B6" s="1">
        <v>45000000</v>
      </c>
      <c r="C6" s="1">
        <v>60000000</v>
      </c>
      <c r="D6" s="1">
        <v>75000000</v>
      </c>
      <c r="E6" s="1">
        <v>85000000</v>
      </c>
      <c r="F6" s="6">
        <f>E6*(1+'UNRL Assumptions'!$B$23)</f>
        <v>102000000</v>
      </c>
      <c r="G6" s="6">
        <f>F6*(1+'UNRL Assumptions'!$B$24)</f>
        <v>122400000</v>
      </c>
      <c r="H6" s="6">
        <f>G6*(1+'UNRL Assumptions'!$B$25)</f>
        <v>140760000</v>
      </c>
      <c r="I6" s="6">
        <f>H6*(1+'UNRL Assumptions'!$B$26)</f>
        <v>161874000</v>
      </c>
      <c r="J6" s="6">
        <f>I6*(1+'UNRL Assumptions'!$B$27)</f>
        <v>178061400</v>
      </c>
    </row>
    <row r="7" spans="1:10" x14ac:dyDescent="1.4">
      <c r="A7" t="s">
        <v>44</v>
      </c>
      <c r="C7" s="3">
        <f>C6/B6-1</f>
        <v>0.33333333333333326</v>
      </c>
      <c r="D7" s="3">
        <f t="shared" ref="D7:E7" si="0">D6/C6-1</f>
        <v>0.25</v>
      </c>
      <c r="E7" s="3">
        <f t="shared" si="0"/>
        <v>0.1333333333333333</v>
      </c>
      <c r="F7" s="2">
        <f>F6/E6-1</f>
        <v>0.19999999999999996</v>
      </c>
      <c r="G7" s="2">
        <f>G6/F6-1</f>
        <v>0.19999999999999996</v>
      </c>
      <c r="H7" s="2">
        <f t="shared" ref="H7:J7" si="1">H6/G6-1</f>
        <v>0.14999999999999991</v>
      </c>
      <c r="I7" s="2">
        <f t="shared" si="1"/>
        <v>0.14999999999999991</v>
      </c>
      <c r="J7" s="2">
        <f t="shared" si="1"/>
        <v>0.10000000000000009</v>
      </c>
    </row>
    <row r="9" spans="1:10" x14ac:dyDescent="1.4">
      <c r="A9" t="s">
        <v>45</v>
      </c>
    </row>
    <row r="10" spans="1:10" x14ac:dyDescent="1.4">
      <c r="A10" t="s">
        <v>46</v>
      </c>
      <c r="B10" s="1">
        <f>-'UNRL Operating Model'!B6*(1-'UNRL Assumptions'!$B$16)</f>
        <v>-20249999.999999996</v>
      </c>
      <c r="C10" s="1">
        <f>-C6*(1-'UNRL Assumptions'!$B$17)</f>
        <v>-25800000.000000004</v>
      </c>
      <c r="D10" s="1">
        <f>-D6*(1-'UNRL Assumptions'!$B$18)</f>
        <v>-31500000.000000004</v>
      </c>
      <c r="E10" s="1">
        <f>-E6*(1-'UNRL Assumptions'!$B$19)</f>
        <v>-34000000</v>
      </c>
      <c r="F10" s="1">
        <f>-F6*(1-('UNRL Assumptions'!$B$19+'UNRL Assumptions'!$B$28*1))</f>
        <v>-39780000</v>
      </c>
      <c r="G10" s="6">
        <f>-G6*(1-('UNRL Assumptions'!$B$19+'UNRL Assumptions'!$B$28*2))</f>
        <v>-46512000</v>
      </c>
      <c r="H10" s="1">
        <f>-H6*(1-('UNRL Assumptions'!$B$19+'UNRL Assumptions'!$B$28*3))</f>
        <v>-52081200</v>
      </c>
      <c r="I10" s="1">
        <f>-I6*(1-('UNRL Assumptions'!$B$19+'UNRL Assumptions'!$B$28*4))</f>
        <v>-58274640</v>
      </c>
      <c r="J10" s="1">
        <f>-J6*(1-('UNRL Assumptions'!$B$19+'UNRL Assumptions'!$B$28*5))</f>
        <v>-62321489.999999993</v>
      </c>
    </row>
    <row r="11" spans="1:10" x14ac:dyDescent="1.4">
      <c r="A11" t="s">
        <v>47</v>
      </c>
      <c r="B11" s="6">
        <f>B6+B10</f>
        <v>24750000.000000004</v>
      </c>
      <c r="C11" s="6">
        <f t="shared" ref="C11:E11" si="2">C6+C10</f>
        <v>34200000</v>
      </c>
      <c r="D11" s="6">
        <f t="shared" si="2"/>
        <v>43500000</v>
      </c>
      <c r="E11" s="6">
        <f t="shared" si="2"/>
        <v>51000000</v>
      </c>
      <c r="F11" s="6">
        <f>F6+F10</f>
        <v>62220000</v>
      </c>
      <c r="G11" s="6">
        <f t="shared" ref="G11:J11" si="3">G6+G10</f>
        <v>75888000</v>
      </c>
      <c r="H11" s="6">
        <f t="shared" si="3"/>
        <v>88678800</v>
      </c>
      <c r="I11" s="6">
        <f t="shared" si="3"/>
        <v>103599360</v>
      </c>
      <c r="J11" s="6">
        <f t="shared" si="3"/>
        <v>115739910</v>
      </c>
    </row>
    <row r="12" spans="1:10" x14ac:dyDescent="1.4">
      <c r="A12" t="s">
        <v>48</v>
      </c>
      <c r="B12" s="2">
        <f>B11/B6</f>
        <v>0.55000000000000004</v>
      </c>
      <c r="C12" s="2">
        <f t="shared" ref="C12:E12" si="4">C11/C6</f>
        <v>0.56999999999999995</v>
      </c>
      <c r="D12" s="2">
        <f t="shared" si="4"/>
        <v>0.57999999999999996</v>
      </c>
      <c r="E12" s="2">
        <f t="shared" si="4"/>
        <v>0.6</v>
      </c>
      <c r="F12" s="2">
        <f>F11/F6</f>
        <v>0.61</v>
      </c>
      <c r="G12" s="2">
        <f t="shared" ref="G12:J12" si="5">G11/G6</f>
        <v>0.62</v>
      </c>
      <c r="H12" s="2">
        <f t="shared" si="5"/>
        <v>0.63</v>
      </c>
      <c r="I12" s="2">
        <f t="shared" si="5"/>
        <v>0.64</v>
      </c>
      <c r="J12" s="2">
        <f t="shared" si="5"/>
        <v>0.65</v>
      </c>
    </row>
    <row r="14" spans="1:10" x14ac:dyDescent="1.4">
      <c r="A14" t="s">
        <v>49</v>
      </c>
    </row>
    <row r="15" spans="1:10" x14ac:dyDescent="1.4">
      <c r="A15" t="s">
        <v>50</v>
      </c>
      <c r="B15" s="1">
        <v>20250000</v>
      </c>
      <c r="C15" s="1">
        <v>26400000</v>
      </c>
      <c r="D15" s="1">
        <v>32250000</v>
      </c>
      <c r="E15" s="1">
        <v>39000000</v>
      </c>
      <c r="F15" s="6">
        <f>E15*(1+'UNRL Assumptions'!$B$23*'UNRL Assumptions'!$B$29)</f>
        <v>43290000.000000007</v>
      </c>
      <c r="G15" s="6">
        <f>F15*(1+'UNRL Assumptions'!$B$24*'UNRL Assumptions'!$B$29)</f>
        <v>48051900.000000015</v>
      </c>
      <c r="H15" s="6">
        <f>G15*(1+'UNRL Assumptions'!$B$25*'UNRL Assumptions'!$B$29)</f>
        <v>52016181.750000015</v>
      </c>
      <c r="I15" s="6">
        <f>H15*(1+'UNRL Assumptions'!$B$26*'UNRL Assumptions'!$B$29)</f>
        <v>56307516.74437502</v>
      </c>
      <c r="J15" s="6">
        <f>I15*(1+'UNRL Assumptions'!$B$27*'UNRL Assumptions'!$B$29)</f>
        <v>59404430.165315643</v>
      </c>
    </row>
    <row r="16" spans="1:10" x14ac:dyDescent="1.4">
      <c r="A16" t="s">
        <v>51</v>
      </c>
      <c r="B16" s="3">
        <f>B15/B6</f>
        <v>0.45</v>
      </c>
      <c r="C16" s="3">
        <f>C15/C6</f>
        <v>0.44</v>
      </c>
      <c r="D16" s="3">
        <f>D15/D6</f>
        <v>0.43</v>
      </c>
      <c r="E16" s="3">
        <f>E15/E6</f>
        <v>0.45882352941176469</v>
      </c>
      <c r="F16" s="3">
        <f>F15/F6</f>
        <v>0.42441176470588243</v>
      </c>
      <c r="G16" s="3">
        <f t="shared" ref="G16:J16" si="6">G15/G6</f>
        <v>0.39258088235294131</v>
      </c>
      <c r="H16" s="3">
        <f t="shared" si="6"/>
        <v>0.36953809143222516</v>
      </c>
      <c r="I16" s="3">
        <f t="shared" si="6"/>
        <v>0.34784781215250765</v>
      </c>
      <c r="J16" s="3">
        <f t="shared" si="6"/>
        <v>0.33361767438263229</v>
      </c>
    </row>
    <row r="18" spans="1:10" x14ac:dyDescent="1.4">
      <c r="A18" t="s">
        <v>52</v>
      </c>
    </row>
    <row r="19" spans="1:10" x14ac:dyDescent="1.4">
      <c r="A19" t="s">
        <v>52</v>
      </c>
      <c r="B19" s="6">
        <f>B11-B15</f>
        <v>4500000.0000000037</v>
      </c>
      <c r="C19" s="6">
        <f t="shared" ref="C19:E19" si="7">C11-C15</f>
        <v>7800000</v>
      </c>
      <c r="D19" s="6">
        <f t="shared" si="7"/>
        <v>11250000</v>
      </c>
      <c r="E19" s="6">
        <f t="shared" si="7"/>
        <v>12000000</v>
      </c>
      <c r="F19" s="6">
        <f>F11-F15</f>
        <v>18929999.999999993</v>
      </c>
      <c r="G19" s="6">
        <f t="shared" ref="G19:J19" si="8">G11-G15</f>
        <v>27836099.999999985</v>
      </c>
      <c r="H19" s="6">
        <f t="shared" si="8"/>
        <v>36662618.249999985</v>
      </c>
      <c r="I19" s="6">
        <f t="shared" si="8"/>
        <v>47291843.25562498</v>
      </c>
      <c r="J19" s="6">
        <f t="shared" si="8"/>
        <v>56335479.834684357</v>
      </c>
    </row>
    <row r="20" spans="1:10" x14ac:dyDescent="1.4">
      <c r="A20" t="s">
        <v>53</v>
      </c>
      <c r="B20" s="5">
        <f>B19/B6</f>
        <v>0.10000000000000009</v>
      </c>
      <c r="C20" s="5">
        <f t="shared" ref="C20:E20" si="9">C19/C6</f>
        <v>0.13</v>
      </c>
      <c r="D20" s="5">
        <f t="shared" si="9"/>
        <v>0.15</v>
      </c>
      <c r="E20" s="5">
        <f t="shared" si="9"/>
        <v>0.14117647058823529</v>
      </c>
      <c r="F20" s="5">
        <f t="shared" ref="F20" si="10">F19/F6</f>
        <v>0.18558823529411758</v>
      </c>
      <c r="G20" s="5">
        <f t="shared" ref="G20" si="11">G19/G6</f>
        <v>0.22741911764705869</v>
      </c>
      <c r="H20" s="5">
        <f t="shared" ref="H20" si="12">H19/H6</f>
        <v>0.26046190856777485</v>
      </c>
      <c r="I20" s="5">
        <f t="shared" ref="I20" si="13">I19/I6</f>
        <v>0.29215218784749236</v>
      </c>
      <c r="J20" s="5">
        <f t="shared" ref="J20" si="14">J19/J6</f>
        <v>0.31638232561736768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B6896-CE2B-4144-A739-49BA37D89331}">
  <dimension ref="A1:G28"/>
  <sheetViews>
    <sheetView topLeftCell="A20" zoomScale="52" workbookViewId="0">
      <selection activeCell="G23" sqref="G23"/>
    </sheetView>
  </sheetViews>
  <sheetFormatPr defaultRowHeight="46.9" x14ac:dyDescent="1.4"/>
  <cols>
    <col min="1" max="1" width="29.875" customWidth="1"/>
    <col min="2" max="2" width="15.42578125" bestFit="1" customWidth="1"/>
    <col min="3" max="3" width="14.8359375" bestFit="1" customWidth="1"/>
    <col min="4" max="4" width="15.4453125" bestFit="1" customWidth="1"/>
    <col min="5" max="5" width="14.91796875" bestFit="1" customWidth="1"/>
    <col min="6" max="7" width="14.8359375" bestFit="1" customWidth="1"/>
  </cols>
  <sheetData>
    <row r="1" spans="1:2" x14ac:dyDescent="1.4">
      <c r="A1" t="s">
        <v>63</v>
      </c>
    </row>
    <row r="3" spans="1:2" x14ac:dyDescent="1.4">
      <c r="A3" t="s">
        <v>64</v>
      </c>
    </row>
    <row r="4" spans="1:2" x14ac:dyDescent="1.4">
      <c r="A4" t="s">
        <v>65</v>
      </c>
      <c r="B4" s="6">
        <f>'UNRL Assumptions'!$B$33</f>
        <v>54000000</v>
      </c>
    </row>
    <row r="5" spans="1:2" x14ac:dyDescent="1.4">
      <c r="A5" t="s">
        <v>28</v>
      </c>
      <c r="B5" s="6">
        <f>'UNRL Assumptions'!$B$34</f>
        <v>69000000</v>
      </c>
    </row>
    <row r="6" spans="1:2" x14ac:dyDescent="1.4">
      <c r="A6" t="s">
        <v>66</v>
      </c>
      <c r="B6" s="6">
        <f>B4+B5</f>
        <v>123000000</v>
      </c>
    </row>
    <row r="8" spans="1:2" x14ac:dyDescent="1.4">
      <c r="A8" t="s">
        <v>67</v>
      </c>
    </row>
    <row r="9" spans="1:2" x14ac:dyDescent="1.4">
      <c r="A9" t="s">
        <v>68</v>
      </c>
      <c r="B9" s="6">
        <f>'UNRL Assumptions'!$B$7</f>
        <v>120000000</v>
      </c>
    </row>
    <row r="10" spans="1:2" x14ac:dyDescent="1.4">
      <c r="A10" t="s">
        <v>69</v>
      </c>
      <c r="B10" s="6">
        <f>'UNRL Assumptions'!$B$36</f>
        <v>3000000</v>
      </c>
    </row>
    <row r="11" spans="1:2" x14ac:dyDescent="1.4">
      <c r="A11" t="s">
        <v>70</v>
      </c>
      <c r="B11" s="6">
        <f>B9+B10</f>
        <v>123000000</v>
      </c>
    </row>
    <row r="13" spans="1:2" x14ac:dyDescent="1.4">
      <c r="A13" t="s">
        <v>71</v>
      </c>
    </row>
    <row r="14" spans="1:2" x14ac:dyDescent="1.4">
      <c r="A14" t="s">
        <v>72</v>
      </c>
      <c r="B14" s="6">
        <f>B6-B11</f>
        <v>0</v>
      </c>
    </row>
    <row r="16" spans="1:2" x14ac:dyDescent="1.4">
      <c r="A16" t="s">
        <v>73</v>
      </c>
    </row>
    <row r="18" spans="1:7" x14ac:dyDescent="1.4">
      <c r="B18" t="s">
        <v>83</v>
      </c>
      <c r="C18" t="s">
        <v>84</v>
      </c>
      <c r="D18" t="s">
        <v>85</v>
      </c>
      <c r="E18" t="s">
        <v>86</v>
      </c>
      <c r="F18" t="s">
        <v>87</v>
      </c>
      <c r="G18" t="s">
        <v>88</v>
      </c>
    </row>
    <row r="19" spans="1:7" x14ac:dyDescent="1.4">
      <c r="A19" t="s">
        <v>74</v>
      </c>
      <c r="C19" s="6">
        <f>B4</f>
        <v>54000000</v>
      </c>
      <c r="D19" s="6">
        <f>C24</f>
        <v>41197500.000000007</v>
      </c>
      <c r="E19" s="6">
        <f>D24</f>
        <v>20851256.250000019</v>
      </c>
      <c r="F19" s="6">
        <f>E24</f>
        <v>0</v>
      </c>
      <c r="G19" s="6">
        <f>F24</f>
        <v>0</v>
      </c>
    </row>
    <row r="20" spans="1:7" x14ac:dyDescent="1.4">
      <c r="A20" t="s">
        <v>75</v>
      </c>
      <c r="C20" s="1">
        <f>-C19*'UNRL Assumptions'!$B$39</f>
        <v>-4860000</v>
      </c>
      <c r="D20" s="1">
        <f>-D19*'UNRL Assumptions'!$B$39</f>
        <v>-3707775.0000000005</v>
      </c>
      <c r="E20" s="1">
        <f>-E19*'UNRL Assumptions'!$B$39</f>
        <v>-1876613.0625000016</v>
      </c>
      <c r="F20" s="1">
        <f>-F19*'UNRL Assumptions'!$B$39</f>
        <v>0</v>
      </c>
      <c r="G20" s="1">
        <f>-G19*'UNRL Assumptions'!$B$39</f>
        <v>0</v>
      </c>
    </row>
    <row r="21" spans="1:7" x14ac:dyDescent="1.4">
      <c r="A21" t="s">
        <v>76</v>
      </c>
      <c r="C21" s="1">
        <f>IF(B19=0, -'UNRL Assumptions'!B33/'UNRL Assumptions'!B40, -MIN('UNRL Assumptions'!$B$33/'UNRL Assumptions'!$B$40, 'UNRL Sources &amp; Debt Uses'!C19))</f>
        <v>-9000000</v>
      </c>
      <c r="D21" s="1">
        <f>IF(C24=0, 0, -MIN('UNRL Assumptions'!$B$33/'UNRL Assumptions'!$B$40, 'UNRL Sources &amp; Debt Uses'!C24))</f>
        <v>-9000000</v>
      </c>
      <c r="E21" s="1">
        <f>IF(D24=0, 0, -MIN('UNRL Assumptions'!$B$33/'UNRL Assumptions'!$B$40,'UNRL Sources &amp; Debt Uses'!D24))</f>
        <v>-9000000</v>
      </c>
      <c r="F21" s="1">
        <f>IF(E24=0, 0, -MIN('UNRL Assumptions'!B33/'UNRL Assumptions'!B40, 'UNRL Sources &amp; Debt Uses'!E24))</f>
        <v>0</v>
      </c>
      <c r="G21" s="1">
        <f>IF(F24=0,-MIN('UNRL Assumptions'!B33/'UNRL Assumptions'!B40,'UNRL Sources &amp; Debt Uses'!F24))</f>
        <v>0</v>
      </c>
    </row>
    <row r="22" spans="1:7" x14ac:dyDescent="1.4">
      <c r="A22" t="s">
        <v>77</v>
      </c>
      <c r="C22" s="6">
        <f>'UNRL Operating Model'!F19+C20+C21</f>
        <v>5069999.9999999925</v>
      </c>
      <c r="D22" s="6">
        <f>'UNRL Operating Model'!G19+D20+D21</f>
        <v>15128324.999999985</v>
      </c>
      <c r="E22" s="6">
        <f>'UNRL Operating Model'!H19+E20+E21</f>
        <v>25786005.187499985</v>
      </c>
      <c r="F22" s="6">
        <f>'UNRL Operating Model'!I19+F20+F21</f>
        <v>47291843.25562498</v>
      </c>
      <c r="G22" s="6">
        <f>'UNRL Operating Model'!J19+G20+G21</f>
        <v>56335479.834684357</v>
      </c>
    </row>
    <row r="23" spans="1:7" x14ac:dyDescent="1.4">
      <c r="A23" t="s">
        <v>78</v>
      </c>
      <c r="C23" s="1">
        <f>IF(C19=0, 0, -MIN(C22*'UNRL Assumptions'!$B$41, C19+C21))</f>
        <v>-3802499.9999999944</v>
      </c>
      <c r="D23" s="1">
        <f>IF(D19=0, 0, -MIN(D22*'UNRL Assumptions'!$B$41, D19+D21))</f>
        <v>-11346243.749999989</v>
      </c>
      <c r="E23" s="1">
        <f>IF(E19=0, 0, -MIN(E22*'UNRL Assumptions'!$B$41, E19+E21))</f>
        <v>-11851256.250000019</v>
      </c>
      <c r="F23" s="1">
        <f>IF(F19=0, 0, -MIN(F22*'UNRL Assumptions'!$B$41, F19+F21))</f>
        <v>0</v>
      </c>
      <c r="G23" s="1">
        <f>IF(G19=0, 0, -MIN(G22*'UNRL Assumptions'!$B$41, G19+G21))</f>
        <v>0</v>
      </c>
    </row>
    <row r="24" spans="1:7" x14ac:dyDescent="1.4">
      <c r="A24" t="s">
        <v>79</v>
      </c>
      <c r="C24" s="6">
        <f>C19+C21+C23</f>
        <v>41197500.000000007</v>
      </c>
      <c r="D24" s="6">
        <f t="shared" ref="D24:G24" si="0">D19+D21+D23</f>
        <v>20851256.250000019</v>
      </c>
      <c r="E24" s="6">
        <f>E19+E21+E23</f>
        <v>0</v>
      </c>
      <c r="F24" s="6">
        <f t="shared" si="0"/>
        <v>0</v>
      </c>
      <c r="G24" s="6">
        <f t="shared" si="0"/>
        <v>0</v>
      </c>
    </row>
    <row r="26" spans="1:7" x14ac:dyDescent="1.4">
      <c r="A26" t="s">
        <v>80</v>
      </c>
    </row>
    <row r="27" spans="1:7" x14ac:dyDescent="1.4">
      <c r="A27" t="s">
        <v>81</v>
      </c>
      <c r="B27" s="6">
        <f>B4-G24</f>
        <v>54000000</v>
      </c>
    </row>
    <row r="28" spans="1:7" x14ac:dyDescent="1.4">
      <c r="A28" t="s">
        <v>82</v>
      </c>
      <c r="B28" s="6">
        <f>G24</f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A5A56-47DD-458E-8361-5B8B5995BB49}">
  <dimension ref="A1:G26"/>
  <sheetViews>
    <sheetView tabSelected="1" topLeftCell="A2" zoomScale="58" workbookViewId="0">
      <selection activeCell="B8" sqref="B8"/>
    </sheetView>
  </sheetViews>
  <sheetFormatPr defaultRowHeight="46.9" x14ac:dyDescent="1.4"/>
  <cols>
    <col min="1" max="1" width="28.3046875" bestFit="1" customWidth="1"/>
    <col min="2" max="2" width="15.75390625" bestFit="1" customWidth="1"/>
    <col min="3" max="4" width="13.7109375" bestFit="1" customWidth="1"/>
    <col min="5" max="6" width="14.734375" bestFit="1" customWidth="1"/>
    <col min="7" max="7" width="15.75390625" bestFit="1" customWidth="1"/>
  </cols>
  <sheetData>
    <row r="1" spans="1:2" x14ac:dyDescent="1.4">
      <c r="A1" t="s">
        <v>89</v>
      </c>
    </row>
    <row r="3" spans="1:2" x14ac:dyDescent="1.4">
      <c r="A3" t="s">
        <v>90</v>
      </c>
    </row>
    <row r="4" spans="1:2" x14ac:dyDescent="1.4">
      <c r="A4" t="s">
        <v>91</v>
      </c>
      <c r="B4" s="6">
        <f>'UNRL Operating Model'!J19</f>
        <v>56335479.834684357</v>
      </c>
    </row>
    <row r="5" spans="1:2" x14ac:dyDescent="1.4">
      <c r="A5" t="s">
        <v>96</v>
      </c>
      <c r="B5" s="4">
        <f>'UNRL Assumptions'!$B$45</f>
        <v>9</v>
      </c>
    </row>
    <row r="6" spans="1:2" x14ac:dyDescent="1.4">
      <c r="A6" t="s">
        <v>92</v>
      </c>
      <c r="B6" s="6">
        <f>B4*B5</f>
        <v>507019318.51215923</v>
      </c>
    </row>
    <row r="7" spans="1:2" x14ac:dyDescent="1.4">
      <c r="A7" t="s">
        <v>93</v>
      </c>
      <c r="B7" s="6">
        <f>-'UNRL Sources &amp; Debt Uses'!G24</f>
        <v>0</v>
      </c>
    </row>
    <row r="8" spans="1:2" x14ac:dyDescent="1.4">
      <c r="A8" t="s">
        <v>94</v>
      </c>
      <c r="B8" s="1">
        <f>-'UNRL Returns Analysis'!B6*'UNRL Assumptions'!$B$46</f>
        <v>-7605289.7776823882</v>
      </c>
    </row>
    <row r="9" spans="1:2" x14ac:dyDescent="1.4">
      <c r="A9" t="s">
        <v>95</v>
      </c>
      <c r="B9" s="6">
        <f>B6+B7+B8</f>
        <v>499414028.73447686</v>
      </c>
    </row>
    <row r="11" spans="1:2" x14ac:dyDescent="1.4">
      <c r="A11" t="s">
        <v>97</v>
      </c>
    </row>
    <row r="12" spans="1:2" x14ac:dyDescent="1.4">
      <c r="A12" t="s">
        <v>98</v>
      </c>
      <c r="B12" s="6">
        <f>'UNRL Assumptions'!$B$34</f>
        <v>69000000</v>
      </c>
    </row>
    <row r="13" spans="1:2" x14ac:dyDescent="1.4">
      <c r="A13" t="s">
        <v>95</v>
      </c>
      <c r="B13" s="6">
        <f>B9</f>
        <v>499414028.73447686</v>
      </c>
    </row>
    <row r="14" spans="1:2" x14ac:dyDescent="1.4">
      <c r="A14" t="s">
        <v>99</v>
      </c>
      <c r="B14" s="4">
        <f>SUM(B26:G26)/(-B26)</f>
        <v>8.0148649566997996</v>
      </c>
    </row>
    <row r="15" spans="1:2" x14ac:dyDescent="1.4">
      <c r="A15" t="s">
        <v>36</v>
      </c>
      <c r="B15">
        <f>'UNRL Assumptions'!$B$44</f>
        <v>5</v>
      </c>
    </row>
    <row r="16" spans="1:2" x14ac:dyDescent="1.4">
      <c r="A16" t="s">
        <v>100</v>
      </c>
      <c r="B16" s="3">
        <f>IRR(B26:G26)</f>
        <v>0.58428319952696994</v>
      </c>
    </row>
    <row r="18" spans="1:7" x14ac:dyDescent="1.4">
      <c r="A18" t="s">
        <v>101</v>
      </c>
    </row>
    <row r="19" spans="1:7" x14ac:dyDescent="1.4">
      <c r="A19" t="s">
        <v>102</v>
      </c>
      <c r="B19" s="6">
        <f>('UNRL Operating Model'!J19-'UNRL Operating Model'!E19)*'UNRL Assumptions'!$B$8</f>
        <v>443354798.3468436</v>
      </c>
    </row>
    <row r="20" spans="1:7" x14ac:dyDescent="1.4">
      <c r="A20" t="s">
        <v>103</v>
      </c>
      <c r="B20" s="6">
        <f>(B5-'UNRL Assumptions'!$B$8)*'UNRL Operating Model'!J19</f>
        <v>-56335479.834684357</v>
      </c>
    </row>
    <row r="21" spans="1:7" x14ac:dyDescent="1.4">
      <c r="A21" t="s">
        <v>104</v>
      </c>
      <c r="B21" s="1">
        <f>'UNRL Sources &amp; Debt Uses'!B27</f>
        <v>54000000</v>
      </c>
    </row>
    <row r="22" spans="1:7" x14ac:dyDescent="1.4">
      <c r="A22" t="s">
        <v>105</v>
      </c>
      <c r="B22" s="6">
        <f>B19+B20+B21</f>
        <v>441019318.51215923</v>
      </c>
    </row>
    <row r="24" spans="1:7" x14ac:dyDescent="1.4">
      <c r="A24" t="s">
        <v>106</v>
      </c>
    </row>
    <row r="25" spans="1:7" x14ac:dyDescent="1.4">
      <c r="A25" t="s">
        <v>107</v>
      </c>
      <c r="B25" t="s">
        <v>83</v>
      </c>
      <c r="C25" t="s">
        <v>84</v>
      </c>
      <c r="D25" t="s">
        <v>85</v>
      </c>
      <c r="E25" t="s">
        <v>86</v>
      </c>
      <c r="F25" t="s">
        <v>87</v>
      </c>
      <c r="G25" t="s">
        <v>88</v>
      </c>
    </row>
    <row r="26" spans="1:7" x14ac:dyDescent="1.4">
      <c r="A26" t="s">
        <v>108</v>
      </c>
      <c r="B26" s="6">
        <f>-B12</f>
        <v>-69000000</v>
      </c>
      <c r="C26" s="6">
        <f>'UNRL Operating Model'!F19+'UNRL Sources &amp; Debt Uses'!C20+'UNRL Sources &amp; Debt Uses'!C21+'UNRL Sources &amp; Debt Uses'!C23</f>
        <v>1267499.9999999981</v>
      </c>
      <c r="D26" s="6">
        <f>'UNRL Operating Model'!G19+'UNRL Sources &amp; Debt Uses'!D20+'UNRL Sources &amp; Debt Uses'!D21+'UNRL Sources &amp; Debt Uses'!D23</f>
        <v>3782081.2499999963</v>
      </c>
      <c r="E26" s="6">
        <f>'UNRL Operating Model'!H19+'UNRL Sources &amp; Debt Uses'!E20+'UNRL Sources &amp; Debt Uses'!E21+'UNRL Sources &amp; Debt Uses'!E23</f>
        <v>13934748.937499966</v>
      </c>
      <c r="F26" s="6">
        <f>'UNRL Operating Model'!I19+'UNRL Sources &amp; Debt Uses'!F20+'UNRL Sources &amp; Debt Uses'!F21+'UNRL Sources &amp; Debt Uses'!F23</f>
        <v>47291843.25562498</v>
      </c>
      <c r="G26" s="6">
        <f>'UNRL Operating Model'!J19+'UNRL Sources &amp; Debt Uses'!G20+'UNRL Sources &amp; Debt Uses'!G21+'UNRL Sources &amp; Debt Uses'!G23+B9</f>
        <v>555749508.56916118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UNRL Assumptions</vt:lpstr>
      <vt:lpstr>UNRL Operating Model</vt:lpstr>
      <vt:lpstr>UNRL Sources &amp; Debt Uses</vt:lpstr>
      <vt:lpstr>UNRL Returns 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Niky Witt</dc:creator>
  <cp:lastModifiedBy>Niky Witt</cp:lastModifiedBy>
  <dcterms:created xsi:type="dcterms:W3CDTF">2026-09-25T04:30:21Z</dcterms:created>
  <dcterms:modified xsi:type="dcterms:W3CDTF">2026-09-27T01:07:39Z</dcterms:modified>
</cp:coreProperties>
</file>