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4be5b9a86eb7a54/CRE/Online Portfolio/real models/"/>
    </mc:Choice>
  </mc:AlternateContent>
  <xr:revisionPtr revIDLastSave="1" documentId="8_{916E0FE8-C289-42F1-B44B-F78A2800DF8D}" xr6:coauthVersionLast="47" xr6:coauthVersionMax="47" xr10:uidLastSave="{F56EF9DA-AB0B-429D-8F71-98331825105D}"/>
  <bookViews>
    <workbookView xWindow="-98" yWindow="-98" windowWidth="21795" windowHeight="13875" firstSheet="3" activeTab="5" xr2:uid="{DD2B53C9-4218-4B86-BE99-6F1EEFD849C4}"/>
  </bookViews>
  <sheets>
    <sheet name="Vista Ridge Assumptions" sheetId="1" r:id="rId1"/>
    <sheet name="Vista Ridge Rent Roll &amp; Renovat" sheetId="2" r:id="rId2"/>
    <sheet name="Operating Model" sheetId="3" r:id="rId3"/>
    <sheet name="S&amp;U + Debt Schedule" sheetId="4" r:id="rId4"/>
    <sheet name="Returns" sheetId="5" r:id="rId5"/>
    <sheet name="Investment Summary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5" i="6" l="1"/>
  <c r="B45" i="6"/>
  <c r="B44" i="6"/>
  <c r="B43" i="6"/>
  <c r="B42" i="6"/>
  <c r="B41" i="6"/>
  <c r="B38" i="6"/>
  <c r="B37" i="6"/>
  <c r="B36" i="6"/>
  <c r="B34" i="6"/>
  <c r="B33" i="6"/>
  <c r="B30" i="6"/>
  <c r="B29" i="6"/>
  <c r="B28" i="6"/>
  <c r="B27" i="6"/>
  <c r="B26" i="6"/>
  <c r="B23" i="6"/>
  <c r="B22" i="6"/>
  <c r="B21" i="6"/>
  <c r="B20" i="6"/>
  <c r="B15" i="6"/>
  <c r="B14" i="6"/>
  <c r="B13" i="6"/>
  <c r="B10" i="6"/>
  <c r="B9" i="6"/>
  <c r="B8" i="6"/>
  <c r="B5" i="6"/>
  <c r="B4" i="6"/>
  <c r="G50" i="5"/>
  <c r="F50" i="5"/>
  <c r="E50" i="5"/>
  <c r="D50" i="5"/>
  <c r="C50" i="5"/>
  <c r="C51" i="5" s="1"/>
  <c r="B66" i="5"/>
  <c r="B65" i="5"/>
  <c r="B63" i="5"/>
  <c r="B62" i="5"/>
  <c r="B61" i="5"/>
  <c r="B60" i="5"/>
  <c r="B59" i="5"/>
  <c r="B58" i="5"/>
  <c r="B57" i="5"/>
  <c r="B56" i="5"/>
  <c r="B55" i="5"/>
  <c r="D51" i="5"/>
  <c r="E51" i="5"/>
  <c r="F51" i="5"/>
  <c r="G51" i="5"/>
  <c r="D49" i="5"/>
  <c r="E49" i="5"/>
  <c r="F49" i="5"/>
  <c r="G49" i="5"/>
  <c r="C49" i="5"/>
  <c r="B44" i="5"/>
  <c r="B43" i="5"/>
  <c r="B42" i="5"/>
  <c r="B41" i="5"/>
  <c r="C39" i="5"/>
  <c r="D39" i="5"/>
  <c r="E39" i="5"/>
  <c r="F39" i="5"/>
  <c r="G39" i="5"/>
  <c r="B39" i="5"/>
  <c r="G38" i="5"/>
  <c r="D37" i="5"/>
  <c r="E37" i="5"/>
  <c r="F37" i="5"/>
  <c r="G37" i="5"/>
  <c r="C37" i="5"/>
  <c r="D36" i="5"/>
  <c r="E36" i="5"/>
  <c r="F36" i="5"/>
  <c r="G36" i="5"/>
  <c r="C36" i="5"/>
  <c r="D35" i="5"/>
  <c r="E35" i="5"/>
  <c r="F35" i="5"/>
  <c r="G35" i="5"/>
  <c r="C35" i="5"/>
  <c r="C34" i="5"/>
  <c r="D34" i="5"/>
  <c r="E34" i="5"/>
  <c r="F34" i="5"/>
  <c r="G34" i="5"/>
  <c r="B34" i="5"/>
  <c r="B29" i="5"/>
  <c r="B28" i="5"/>
  <c r="B26" i="5"/>
  <c r="B27" i="5"/>
  <c r="G24" i="5"/>
  <c r="G23" i="5"/>
  <c r="F24" i="5"/>
  <c r="G22" i="5"/>
  <c r="G21" i="5"/>
  <c r="C24" i="5"/>
  <c r="D24" i="5"/>
  <c r="E24" i="5"/>
  <c r="B24" i="5"/>
  <c r="C22" i="5"/>
  <c r="D22" i="5"/>
  <c r="E22" i="5"/>
  <c r="F22" i="5"/>
  <c r="C21" i="5"/>
  <c r="D21" i="5"/>
  <c r="E21" i="5"/>
  <c r="F21" i="5"/>
  <c r="B20" i="5"/>
  <c r="C20" i="5"/>
  <c r="D20" i="5"/>
  <c r="E20" i="5"/>
  <c r="F20" i="5"/>
  <c r="B15" i="5"/>
  <c r="B14" i="5"/>
  <c r="B13" i="5"/>
  <c r="B11" i="5"/>
  <c r="B10" i="5"/>
  <c r="B9" i="5"/>
  <c r="B8" i="5"/>
  <c r="B7" i="5"/>
  <c r="B6" i="5"/>
  <c r="B5" i="5"/>
  <c r="B41" i="4"/>
  <c r="B40" i="4"/>
  <c r="B39" i="4"/>
  <c r="D36" i="4"/>
  <c r="E36" i="4"/>
  <c r="F36" i="4"/>
  <c r="G36" i="4"/>
  <c r="C36" i="4"/>
  <c r="C35" i="4"/>
  <c r="D35" i="4"/>
  <c r="E35" i="4"/>
  <c r="F35" i="4"/>
  <c r="G35" i="4"/>
  <c r="B35" i="4"/>
  <c r="C34" i="4"/>
  <c r="D34" i="4"/>
  <c r="E34" i="4"/>
  <c r="F34" i="4"/>
  <c r="G34" i="4"/>
  <c r="B34" i="4"/>
  <c r="D31" i="4"/>
  <c r="E31" i="4"/>
  <c r="F31" i="4"/>
  <c r="G31" i="4"/>
  <c r="C31" i="4"/>
  <c r="F29" i="4"/>
  <c r="D28" i="4"/>
  <c r="E28" i="4"/>
  <c r="E27" i="4"/>
  <c r="D27" i="4"/>
  <c r="D30" i="4" s="1"/>
  <c r="C30" i="4"/>
  <c r="E29" i="4"/>
  <c r="E30" i="4" s="1"/>
  <c r="F27" i="4" s="1"/>
  <c r="C28" i="4"/>
  <c r="C27" i="4"/>
  <c r="B24" i="4"/>
  <c r="B20" i="4"/>
  <c r="B19" i="4"/>
  <c r="B18" i="4"/>
  <c r="B16" i="4"/>
  <c r="B15" i="4"/>
  <c r="B14" i="4"/>
  <c r="B13" i="4"/>
  <c r="B6" i="4"/>
  <c r="B10" i="4" s="1"/>
  <c r="B8" i="4"/>
  <c r="B7" i="4"/>
  <c r="C34" i="3"/>
  <c r="D34" i="3"/>
  <c r="E34" i="3"/>
  <c r="F34" i="3"/>
  <c r="G34" i="3"/>
  <c r="B34" i="3"/>
  <c r="D33" i="3"/>
  <c r="C33" i="3"/>
  <c r="D32" i="3"/>
  <c r="E32" i="3" s="1"/>
  <c r="F32" i="3" s="1"/>
  <c r="G32" i="3" s="1"/>
  <c r="C32" i="3"/>
  <c r="B32" i="3"/>
  <c r="D29" i="3"/>
  <c r="E29" i="3"/>
  <c r="F29" i="3"/>
  <c r="G29" i="3"/>
  <c r="C29" i="3"/>
  <c r="C28" i="3"/>
  <c r="D28" i="3"/>
  <c r="E28" i="3"/>
  <c r="F28" i="3"/>
  <c r="G28" i="3"/>
  <c r="B28" i="3"/>
  <c r="C25" i="3"/>
  <c r="D25" i="3"/>
  <c r="E25" i="3"/>
  <c r="F25" i="3"/>
  <c r="G25" i="3"/>
  <c r="B25" i="3"/>
  <c r="C24" i="3"/>
  <c r="D24" i="3"/>
  <c r="E24" i="3"/>
  <c r="F24" i="3"/>
  <c r="G24" i="3"/>
  <c r="B24" i="3"/>
  <c r="D23" i="3"/>
  <c r="E23" i="3"/>
  <c r="F23" i="3"/>
  <c r="G23" i="3" s="1"/>
  <c r="C23" i="3"/>
  <c r="B23" i="3"/>
  <c r="D22" i="3"/>
  <c r="E22" i="3"/>
  <c r="F22" i="3"/>
  <c r="G22" i="3"/>
  <c r="C22" i="3"/>
  <c r="B22" i="3"/>
  <c r="D20" i="3"/>
  <c r="E20" i="3"/>
  <c r="F20" i="3"/>
  <c r="G20" i="3"/>
  <c r="C20" i="3"/>
  <c r="D19" i="3"/>
  <c r="E19" i="3"/>
  <c r="F19" i="3"/>
  <c r="G19" i="3"/>
  <c r="C19" i="3"/>
  <c r="D18" i="3"/>
  <c r="E18" i="3"/>
  <c r="F18" i="3"/>
  <c r="G18" i="3"/>
  <c r="C18" i="3"/>
  <c r="D17" i="3"/>
  <c r="E17" i="3"/>
  <c r="F17" i="3" s="1"/>
  <c r="G17" i="3" s="1"/>
  <c r="C17" i="3"/>
  <c r="B20" i="3"/>
  <c r="B19" i="3"/>
  <c r="B18" i="3"/>
  <c r="B17" i="3"/>
  <c r="C21" i="3"/>
  <c r="D21" i="3"/>
  <c r="E21" i="3"/>
  <c r="F21" i="3"/>
  <c r="G21" i="3"/>
  <c r="B21" i="3"/>
  <c r="B14" i="3"/>
  <c r="C14" i="3"/>
  <c r="D14" i="3"/>
  <c r="E14" i="3"/>
  <c r="F14" i="3"/>
  <c r="G14" i="3"/>
  <c r="C13" i="3"/>
  <c r="D13" i="3"/>
  <c r="E13" i="3"/>
  <c r="F13" i="3"/>
  <c r="G13" i="3"/>
  <c r="B13" i="3"/>
  <c r="C12" i="3"/>
  <c r="D12" i="3"/>
  <c r="E12" i="3"/>
  <c r="F12" i="3"/>
  <c r="G12" i="3"/>
  <c r="B12" i="3"/>
  <c r="C11" i="3"/>
  <c r="D11" i="3"/>
  <c r="E11" i="3"/>
  <c r="F11" i="3"/>
  <c r="G11" i="3"/>
  <c r="B11" i="3"/>
  <c r="D10" i="3"/>
  <c r="E10" i="3"/>
  <c r="F10" i="3"/>
  <c r="G10" i="3"/>
  <c r="C10" i="3"/>
  <c r="B10" i="3"/>
  <c r="C9" i="3"/>
  <c r="D9" i="3"/>
  <c r="E9" i="3"/>
  <c r="F9" i="3"/>
  <c r="G9" i="3"/>
  <c r="B9" i="3"/>
  <c r="E7" i="3"/>
  <c r="F7" i="3"/>
  <c r="G7" i="3"/>
  <c r="D7" i="3"/>
  <c r="C7" i="3"/>
  <c r="B7" i="3"/>
  <c r="G22" i="2"/>
  <c r="F22" i="2"/>
  <c r="E22" i="2"/>
  <c r="G17" i="2"/>
  <c r="D22" i="2"/>
  <c r="G18" i="2"/>
  <c r="G19" i="2"/>
  <c r="G20" i="2"/>
  <c r="G21" i="2"/>
  <c r="E18" i="2"/>
  <c r="E17" i="2"/>
  <c r="D19" i="2"/>
  <c r="D20" i="2"/>
  <c r="D21" i="2"/>
  <c r="D18" i="2"/>
  <c r="D17" i="2"/>
  <c r="C21" i="2"/>
  <c r="C20" i="2"/>
  <c r="C19" i="2"/>
  <c r="C18" i="2"/>
  <c r="C17" i="2"/>
  <c r="B13" i="2"/>
  <c r="B12" i="2"/>
  <c r="B11" i="2"/>
  <c r="H8" i="2"/>
  <c r="G8" i="2"/>
  <c r="F8" i="2"/>
  <c r="H7" i="2"/>
  <c r="H6" i="2"/>
  <c r="H5" i="2"/>
  <c r="G7" i="2"/>
  <c r="G6" i="2"/>
  <c r="G5" i="2"/>
  <c r="E8" i="2"/>
  <c r="E7" i="2"/>
  <c r="E6" i="2"/>
  <c r="E5" i="2"/>
  <c r="C8" i="2"/>
  <c r="D8" i="2"/>
  <c r="B29" i="2"/>
  <c r="B28" i="2"/>
  <c r="B27" i="2"/>
  <c r="B26" i="2"/>
  <c r="B25" i="2"/>
  <c r="B22" i="2"/>
  <c r="B25" i="1"/>
  <c r="B18" i="1"/>
  <c r="B44" i="1"/>
  <c r="B37" i="1"/>
  <c r="B39" i="1" s="1"/>
  <c r="B52" i="5" l="1"/>
  <c r="B64" i="5" s="1"/>
  <c r="F30" i="4"/>
  <c r="G27" i="4" s="1"/>
  <c r="F28" i="4"/>
  <c r="G28" i="4" l="1"/>
  <c r="G29" i="4" s="1"/>
  <c r="G30" i="4" s="1"/>
</calcChain>
</file>

<file path=xl/sharedStrings.xml><?xml version="1.0" encoding="utf-8"?>
<sst xmlns="http://schemas.openxmlformats.org/spreadsheetml/2006/main" count="300" uniqueCount="233">
  <si>
    <t>VISTA RIDGE APARTMENTS - ASSUMPTIONS</t>
  </si>
  <si>
    <t>DEAL OVERVIEW</t>
  </si>
  <si>
    <t xml:space="preserve">Date: </t>
  </si>
  <si>
    <t xml:space="preserve">Prepared by: </t>
  </si>
  <si>
    <t>Property Name</t>
  </si>
  <si>
    <t>Address</t>
  </si>
  <si>
    <t>Year Built</t>
  </si>
  <si>
    <t>Total Units</t>
  </si>
  <si>
    <t>Total NRSF</t>
  </si>
  <si>
    <t>Avg Unit SF</t>
  </si>
  <si>
    <t>Vista Ridge Apartments</t>
  </si>
  <si>
    <t>Nik Wittenfeld</t>
  </si>
  <si>
    <t>TRANSACTION (Actual - August 2026)</t>
  </si>
  <si>
    <t>Purchase Price</t>
  </si>
  <si>
    <t>Purchase Price Per Unit</t>
  </si>
  <si>
    <t>Purchase Price Per SF</t>
  </si>
  <si>
    <t>Acquisition Costs</t>
  </si>
  <si>
    <t>Acquisition Costs ($)</t>
  </si>
  <si>
    <t>UNIT MIX &amp; IN-PLACE RENT</t>
  </si>
  <si>
    <t>Ridge (2BR/2BA, 1,088 SF)</t>
  </si>
  <si>
    <t>Trail (3BR/2BA, 1,207 SF)</t>
  </si>
  <si>
    <t>Weighted Avg In-Place Rent</t>
  </si>
  <si>
    <t>In-Place Gross Potential Rent (Annual)</t>
  </si>
  <si>
    <t>OCCUPANCY &amp; OPERATIONS</t>
  </si>
  <si>
    <t>In-Place Physical Occupancy</t>
  </si>
  <si>
    <t>Stabilized Occupancy Target</t>
  </si>
  <si>
    <t>Bad Debt / Concessions (% GPR)</t>
  </si>
  <si>
    <t>Other Income (% of GPR)</t>
  </si>
  <si>
    <t>Operating Expense Ratio (% of EGI)</t>
  </si>
  <si>
    <t>RENOVATION PROGRAM</t>
  </si>
  <si>
    <t>Units to Renovate</t>
  </si>
  <si>
    <t>Cost Per Unit (Interior)</t>
  </si>
  <si>
    <t>Common Area CapEx</t>
  </si>
  <si>
    <t>Total Interior CapEx</t>
  </si>
  <si>
    <t>Total Renovation Budget</t>
  </si>
  <si>
    <t>Rent Premium Per Renovated Unit</t>
  </si>
  <si>
    <t>FINANCING</t>
  </si>
  <si>
    <t>LTV</t>
  </si>
  <si>
    <t>Loan Amount</t>
  </si>
  <si>
    <t>Interest Rate (Fixed, 5-Yr Agency)</t>
  </si>
  <si>
    <t>Amortization (Years)</t>
  </si>
  <si>
    <t>Interest-Only Period (Years)</t>
  </si>
  <si>
    <t>Loan Term (Years)</t>
  </si>
  <si>
    <t>GROWTH &amp; INFLATION</t>
  </si>
  <si>
    <t>Market Rent Growth (Y1)</t>
  </si>
  <si>
    <t>Market Rent Growth (Y2-Y5)</t>
  </si>
  <si>
    <t>Expense Inflation</t>
  </si>
  <si>
    <t>EXIT ASSUMPTIONS</t>
  </si>
  <si>
    <t>Hold Period (Years)</t>
  </si>
  <si>
    <t>Exit Cap Rate</t>
  </si>
  <si>
    <t>Cost of Sale (% of Sale Price)</t>
  </si>
  <si>
    <t>RETURN TARGETS (For Reference)</t>
  </si>
  <si>
    <t>Unlevered IRR Target</t>
  </si>
  <si>
    <t>Levered IRR Target</t>
  </si>
  <si>
    <t>MOIC Target</t>
  </si>
  <si>
    <t>17.0% - 20.0%</t>
  </si>
  <si>
    <t>1.9x - 2.2x</t>
  </si>
  <si>
    <t>12.0% - 14.0%</t>
  </si>
  <si>
    <t>201 Mt Park Blvd SW, Issaquah, WA 98027</t>
  </si>
  <si>
    <t>Peak (2BR/2BA, 1,038 SF)</t>
  </si>
  <si>
    <t>VISTA RIDGE APARTMENTS - RENT ROLL &amp; RENOVATION SCHEDULE</t>
  </si>
  <si>
    <t>UNIT MIX &amp; RENT ROLL</t>
  </si>
  <si>
    <t>Floor Plan</t>
  </si>
  <si>
    <t>Peak</t>
  </si>
  <si>
    <t>Ridge</t>
  </si>
  <si>
    <t>Trail</t>
  </si>
  <si>
    <t>TOTAL / Wtd Avg</t>
  </si>
  <si>
    <t>ANNUAL GROSS POTENTIAL RENT</t>
  </si>
  <si>
    <t>In-Place Annual GPR</t>
  </si>
  <si>
    <t>Post-Reno Annual GPR</t>
  </si>
  <si>
    <t>Annual Rent Uplift from Renovation</t>
  </si>
  <si>
    <t>RENOVATION SCHEDULE</t>
  </si>
  <si>
    <t>Year</t>
  </si>
  <si>
    <t>Year 1</t>
  </si>
  <si>
    <t>Year 2</t>
  </si>
  <si>
    <t>Year 3</t>
  </si>
  <si>
    <t>Year 4</t>
  </si>
  <si>
    <t>Year 5</t>
  </si>
  <si>
    <t>TOTAL</t>
  </si>
  <si>
    <t>RENOVATION STRATEGY NOTES</t>
  </si>
  <si>
    <t>Units Not Renovated (Prior Ownership Refresh)</t>
  </si>
  <si>
    <t>% of Property Renovated</t>
  </si>
  <si>
    <t>Blended Rent Premium (Weighted)</t>
  </si>
  <si>
    <t>Unit Type</t>
  </si>
  <si>
    <t>2BR / 2BA</t>
  </si>
  <si>
    <t>3BR / 2BA</t>
  </si>
  <si>
    <t>Units Renovated</t>
  </si>
  <si>
    <t>SF</t>
  </si>
  <si>
    <t># Units</t>
  </si>
  <si>
    <t>% of Total</t>
  </si>
  <si>
    <t>In-Place Rent</t>
  </si>
  <si>
    <t>Post-Reno Rent</t>
  </si>
  <si>
    <t>Rent Premium</t>
  </si>
  <si>
    <t>Cumulative Renovated</t>
  </si>
  <si>
    <t>Cumulative % of Total</t>
  </si>
  <si>
    <t>Interior CapEx Spent</t>
  </si>
  <si>
    <t>Total Period CapEx</t>
  </si>
  <si>
    <t>-</t>
  </si>
  <si>
    <t>VISTA RIDGE APARTMENTS - 5-YEAR OPERATING MODEL</t>
  </si>
  <si>
    <t>PRO FORMA</t>
  </si>
  <si>
    <t>REVENUE</t>
  </si>
  <si>
    <t>Gross Potential Rent (Market Growth)</t>
  </si>
  <si>
    <t>Year 0</t>
  </si>
  <si>
    <t>(+) Reno Premium Capture</t>
  </si>
  <si>
    <t>Total Gross Potential Rent</t>
  </si>
  <si>
    <t>(-) Vacancy Loss</t>
  </si>
  <si>
    <t>(-) Bad Debt / Conessions</t>
  </si>
  <si>
    <t>Effective Gross Rent</t>
  </si>
  <si>
    <t>(+) Other Income</t>
  </si>
  <si>
    <t>Effective Gross Income</t>
  </si>
  <si>
    <t>OPERATING EXPENSES</t>
  </si>
  <si>
    <t>Property Taxes</t>
  </si>
  <si>
    <t>Insurance</t>
  </si>
  <si>
    <t>Repairs and Maintenance</t>
  </si>
  <si>
    <t>Utilities</t>
  </si>
  <si>
    <t>Property Management (3% of EGI)</t>
  </si>
  <si>
    <t>Payroll &amp; Admin</t>
  </si>
  <si>
    <t>Marketing</t>
  </si>
  <si>
    <t>Total Operating Expenses</t>
  </si>
  <si>
    <t>Operating Expense Ratio</t>
  </si>
  <si>
    <t>NET OPERATING INCOME</t>
  </si>
  <si>
    <t>NOI</t>
  </si>
  <si>
    <t>NOI Growth vs Prior Year</t>
  </si>
  <si>
    <t>CAPITAL EXPENDITURES</t>
  </si>
  <si>
    <t>Routine CapEx Reserves</t>
  </si>
  <si>
    <t>Renovation Program CapEx</t>
  </si>
  <si>
    <t>Total CapEx</t>
  </si>
  <si>
    <t>VISTA RIDGE APARTMENTS - SOURCES &amp; USES + DEBT SCHEDULE</t>
  </si>
  <si>
    <t>SOURCES &amp; USES</t>
  </si>
  <si>
    <t>USES</t>
  </si>
  <si>
    <t>Acquisition Costs (2%)</t>
  </si>
  <si>
    <t>Renovation Reserve</t>
  </si>
  <si>
    <t>Working Capital / Closing Reserve</t>
  </si>
  <si>
    <t>Total Uses</t>
  </si>
  <si>
    <t>SOURCES</t>
  </si>
  <si>
    <t>Senior Debt (60% LTV)</t>
  </si>
  <si>
    <t>Total Equity Required</t>
  </si>
  <si>
    <t>Total Sources</t>
  </si>
  <si>
    <t>Check (Sources - Uses)</t>
  </si>
  <si>
    <t>LTV (Loan / Purchase Price</t>
  </si>
  <si>
    <t>LTC (Loan / Total Cost)</t>
  </si>
  <si>
    <t>Equity as % of Uses</t>
  </si>
  <si>
    <t>DEBT SCHEDULE</t>
  </si>
  <si>
    <t>Annual Debt Service (During Amortization)</t>
  </si>
  <si>
    <t>Beginning Balance</t>
  </si>
  <si>
    <t>(-) Interest Payment</t>
  </si>
  <si>
    <t>(-) Principal Payment</t>
  </si>
  <si>
    <t>Ending Balance</t>
  </si>
  <si>
    <t>Total Debt Service</t>
  </si>
  <si>
    <t>Loan Origination</t>
  </si>
  <si>
    <t>DSCR ANALYSIS</t>
  </si>
  <si>
    <t>NOI (from Operating Model)</t>
  </si>
  <si>
    <t>DSCR (NOI / Debt Service)</t>
  </si>
  <si>
    <t>EXIT LOAN PAYOFF</t>
  </si>
  <si>
    <t>Loan Balance at Exit (Year 5 Ending)</t>
  </si>
  <si>
    <t>Total Principal Paid During Hold</t>
  </si>
  <si>
    <t>Prinicpal Paid as % of Original Loan</t>
  </si>
  <si>
    <t>VISTA RIDGE APARTMENTS - RETURNS ANALYSIS</t>
  </si>
  <si>
    <t>EXIT VALUATION (YEAR 5 SALE)</t>
  </si>
  <si>
    <t>Year 5 STABILIZED NOI</t>
  </si>
  <si>
    <t>Gross, Sale Price</t>
  </si>
  <si>
    <t>(-) Cost of Sale (1.5%)</t>
  </si>
  <si>
    <t>Net Sale Proceeds</t>
  </si>
  <si>
    <t>(-) Loan Payoff at Exit</t>
  </si>
  <si>
    <t>Net Equity Proceeds at Exit</t>
  </si>
  <si>
    <t>Total Value Created (Sale Price - Purchase Price)</t>
  </si>
  <si>
    <t>Sale Price Per Unit</t>
  </si>
  <si>
    <t>Purchase Price Per Unit (for comparison)</t>
  </si>
  <si>
    <t>UNLEVERED CASH FLOWS</t>
  </si>
  <si>
    <t>Initial Investment (Total Uses)</t>
  </si>
  <si>
    <t>(-) Routine CapEx</t>
  </si>
  <si>
    <t>(+) Net Sale Proceeds at Exit</t>
  </si>
  <si>
    <t>Total Unlevered Cash Flow</t>
  </si>
  <si>
    <t>Unlevered IRR</t>
  </si>
  <si>
    <t>Unlevered MOIC</t>
  </si>
  <si>
    <t>Total Cash Returned</t>
  </si>
  <si>
    <t>Total Cash Invested</t>
  </si>
  <si>
    <t>LEVERED CASH FLOWS</t>
  </si>
  <si>
    <t>Initial Equity Investment</t>
  </si>
  <si>
    <t>(-) Debt Service</t>
  </si>
  <si>
    <t>Net Equity Proceeds</t>
  </si>
  <si>
    <t>Total Levered Cash Flow</t>
  </si>
  <si>
    <t>Levered IRR</t>
  </si>
  <si>
    <t>Levered MOIC</t>
  </si>
  <si>
    <t>Total Equity Invested</t>
  </si>
  <si>
    <t>CASH-ON-CASH YIELD</t>
  </si>
  <si>
    <t>Operating Levered Cash Flow</t>
  </si>
  <si>
    <t>Cash-on-Cash Yield</t>
  </si>
  <si>
    <t>Average Cash-on-Cash (5-Yr Avg)</t>
  </si>
  <si>
    <t>RETURNS SUMMARY</t>
  </si>
  <si>
    <t>Exit Sale Price</t>
  </si>
  <si>
    <t>Going-In Cap Rate</t>
  </si>
  <si>
    <t>Average Cash-on-Cash</t>
  </si>
  <si>
    <t>Total Equity Returned</t>
  </si>
  <si>
    <t>VISTA RIDGE APARTMENTS - INVESTMENT SUMMARY</t>
  </si>
  <si>
    <t>Submarket</t>
  </si>
  <si>
    <t>Property Type</t>
  </si>
  <si>
    <t>Olde Town Issaquah / Eastside</t>
  </si>
  <si>
    <t>Class B Garden-Style Multifamily</t>
  </si>
  <si>
    <t>TRANSACTION</t>
  </si>
  <si>
    <t>Broker</t>
  </si>
  <si>
    <t>INVESTMENT SUMMARY</t>
  </si>
  <si>
    <t>Strategy Type</t>
  </si>
  <si>
    <t>Interior Reno Cost Per Unit</t>
  </si>
  <si>
    <t>Target Rent Premium (Per Unit)</t>
  </si>
  <si>
    <t>IPA (Marcus &amp; Millichap)</t>
  </si>
  <si>
    <t>Classic Value Add, 5-Year Hold</t>
  </si>
  <si>
    <t>KEY RETURNS METRICS</t>
  </si>
  <si>
    <t>CAPITAL STACK</t>
  </si>
  <si>
    <t>Senior Debt</t>
  </si>
  <si>
    <t>Total Equity</t>
  </si>
  <si>
    <t>Total Capitalization</t>
  </si>
  <si>
    <t>LTV (Loan / Purchase Price)</t>
  </si>
  <si>
    <t>Interest Rate</t>
  </si>
  <si>
    <t>EXIT SUMMARY</t>
  </si>
  <si>
    <t>Year 5 Stabilized NOI</t>
  </si>
  <si>
    <t>Gross Sale Price</t>
  </si>
  <si>
    <t>Total Value Created</t>
  </si>
  <si>
    <t>INVESTMENT HIGHLIGHTS</t>
  </si>
  <si>
    <t>1. Below Replacement Cost Basis</t>
  </si>
  <si>
    <t>2. Operational Value-Add Thesis</t>
  </si>
  <si>
    <t>3. Attractive Going-In Yield</t>
  </si>
  <si>
    <t>4. Transit-Oriented Submarket</t>
  </si>
  <si>
    <t>5. Defensive Debt Structure</t>
  </si>
  <si>
    <t>6. Strong Risk-Adjusted Returns</t>
  </si>
  <si>
    <t>7. Clean Exit Path</t>
  </si>
  <si>
    <t>$407k/unit vs $500-550k new construction</t>
  </si>
  <si>
    <t>55-unit interior reno +common area upgrades</t>
  </si>
  <si>
    <t>5.8% cap rate on in-place NOI</t>
  </si>
  <si>
    <t>10 min to Downtown Bellevue, strong demographics</t>
  </si>
  <si>
    <t>60% LTV, 2-year IO, min DSCR 1.60x</t>
  </si>
  <si>
    <t>17% Levered IRR, 2.07x MOIC, 5.9% avg CoC</t>
  </si>
  <si>
    <t>Stabilized asset to core/core-plus buyer at Y5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</si>
</sst>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&quot;$&quot;#,##0.00"/>
    <numFmt numFmtId="166" formatCode="0.0%"/>
    <numFmt numFmtId="167" formatCode="_(&quot;$&quot;* #,##0_);_(&quot;$&quot;* \(#,##0\);_(&quot;$&quot;* &quot;-&quot;??_);_(@_)"/>
    <numFmt numFmtId="168" formatCode="_(&quot;$&quot;* #,##0_);_(&quot;$&quot;* \(#,##0\);_(&quot;$&quot;* &quot;-&quot;?_);_(@_)"/>
    <numFmt numFmtId="169" formatCode="0.00\x"/>
  </numFmts>
  <fonts count="5" x14ac:knownFonts="1">
    <font>
      <sz val="3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1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164" fontId="0" fillId="0" borderId="0" xfId="0" applyNumberFormat="1"/>
    <xf numFmtId="15" fontId="0" fillId="0" borderId="0" xfId="0" applyNumberFormat="1"/>
    <xf numFmtId="3" fontId="0" fillId="0" borderId="0" xfId="0" applyNumberFormat="1"/>
    <xf numFmtId="2" fontId="0" fillId="0" borderId="0" xfId="0" applyNumberFormat="1"/>
    <xf numFmtId="165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2" applyFont="1"/>
    <xf numFmtId="166" fontId="0" fillId="0" borderId="0" xfId="2" applyNumberFormat="1" applyFont="1"/>
    <xf numFmtId="10" fontId="0" fillId="0" borderId="0" xfId="2" applyNumberFormat="1" applyFont="1"/>
    <xf numFmtId="44" fontId="0" fillId="0" borderId="0" xfId="1" applyFont="1"/>
    <xf numFmtId="44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2" fillId="0" borderId="0" xfId="0" applyFont="1"/>
    <xf numFmtId="1" fontId="2" fillId="0" borderId="0" xfId="0" applyNumberFormat="1" applyFont="1"/>
    <xf numFmtId="9" fontId="2" fillId="0" borderId="0" xfId="2" applyFont="1"/>
    <xf numFmtId="167" fontId="2" fillId="0" borderId="0" xfId="1" applyNumberFormat="1" applyFont="1"/>
    <xf numFmtId="167" fontId="2" fillId="0" borderId="0" xfId="0" applyNumberFormat="1" applyFont="1"/>
    <xf numFmtId="168" fontId="0" fillId="0" borderId="0" xfId="0" applyNumberFormat="1"/>
    <xf numFmtId="8" fontId="0" fillId="0" borderId="0" xfId="0" applyNumberFormat="1"/>
    <xf numFmtId="2" fontId="0" fillId="0" borderId="0" xfId="1" applyNumberFormat="1" applyFont="1"/>
    <xf numFmtId="169" fontId="0" fillId="0" borderId="0" xfId="1" applyNumberFormat="1" applyFont="1"/>
    <xf numFmtId="169" fontId="0" fillId="0" borderId="0" xfId="0" applyNumberFormat="1"/>
    <xf numFmtId="166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</cellXfs>
  <cellStyles count="4">
    <cellStyle name="Currency" xfId="1" builtinId="4"/>
    <cellStyle name="Normal" xfId="0" builtinId="0"/>
    <cellStyle name="Normal 2" xfId="3" xr:uid="{17954670-E3E8-4D37-8AEB-4641D4950E3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1DA0-DEFE-4A65-AAB4-2AAD8E09810A}">
  <dimension ref="A1:B63"/>
  <sheetViews>
    <sheetView topLeftCell="A33" zoomScale="49" workbookViewId="0">
      <selection activeCell="B69" sqref="B69"/>
    </sheetView>
  </sheetViews>
  <sheetFormatPr defaultRowHeight="46.9" x14ac:dyDescent="1.4"/>
  <cols>
    <col min="1" max="1" width="35" bestFit="1" customWidth="1"/>
    <col min="2" max="2" width="33.58984375" bestFit="1" customWidth="1"/>
  </cols>
  <sheetData>
    <row r="1" spans="1:2" x14ac:dyDescent="1.4">
      <c r="A1" t="s">
        <v>0</v>
      </c>
    </row>
    <row r="2" spans="1:2" x14ac:dyDescent="1.4">
      <c r="A2" t="s">
        <v>3</v>
      </c>
      <c r="B2" t="s">
        <v>11</v>
      </c>
    </row>
    <row r="3" spans="1:2" x14ac:dyDescent="1.4">
      <c r="A3" s="1" t="s">
        <v>2</v>
      </c>
      <c r="B3" s="2">
        <v>46293</v>
      </c>
    </row>
    <row r="5" spans="1:2" x14ac:dyDescent="1.4">
      <c r="A5" t="s">
        <v>1</v>
      </c>
    </row>
    <row r="6" spans="1:2" x14ac:dyDescent="1.4">
      <c r="A6" t="s">
        <v>4</v>
      </c>
      <c r="B6" t="s">
        <v>10</v>
      </c>
    </row>
    <row r="7" spans="1:2" x14ac:dyDescent="1.4">
      <c r="A7" t="s">
        <v>5</v>
      </c>
      <c r="B7" t="s">
        <v>58</v>
      </c>
    </row>
    <row r="8" spans="1:2" x14ac:dyDescent="1.4">
      <c r="A8" t="s">
        <v>6</v>
      </c>
      <c r="B8">
        <v>1994</v>
      </c>
    </row>
    <row r="9" spans="1:2" x14ac:dyDescent="1.4">
      <c r="A9" t="s">
        <v>7</v>
      </c>
      <c r="B9">
        <v>91</v>
      </c>
    </row>
    <row r="10" spans="1:2" x14ac:dyDescent="1.4">
      <c r="A10" t="s">
        <v>8</v>
      </c>
      <c r="B10" s="3">
        <v>100646</v>
      </c>
    </row>
    <row r="11" spans="1:2" x14ac:dyDescent="1.4">
      <c r="A11" t="s">
        <v>9</v>
      </c>
      <c r="B11" s="3">
        <v>1106</v>
      </c>
    </row>
    <row r="13" spans="1:2" x14ac:dyDescent="1.4">
      <c r="A13" t="s">
        <v>12</v>
      </c>
    </row>
    <row r="14" spans="1:2" x14ac:dyDescent="1.4">
      <c r="A14" t="s">
        <v>13</v>
      </c>
      <c r="B14" s="5">
        <v>37000000</v>
      </c>
    </row>
    <row r="15" spans="1:2" x14ac:dyDescent="1.4">
      <c r="A15" t="s">
        <v>14</v>
      </c>
      <c r="B15" s="5">
        <v>406593</v>
      </c>
    </row>
    <row r="16" spans="1:2" x14ac:dyDescent="1.4">
      <c r="A16" t="s">
        <v>15</v>
      </c>
      <c r="B16" s="5">
        <v>368</v>
      </c>
    </row>
    <row r="17" spans="1:2" x14ac:dyDescent="1.4">
      <c r="A17" t="s">
        <v>16</v>
      </c>
      <c r="B17" s="6">
        <v>0.02</v>
      </c>
    </row>
    <row r="18" spans="1:2" x14ac:dyDescent="1.4">
      <c r="A18" t="s">
        <v>17</v>
      </c>
      <c r="B18" s="5">
        <f>B14*B17</f>
        <v>740000</v>
      </c>
    </row>
    <row r="20" spans="1:2" x14ac:dyDescent="1.4">
      <c r="A20" t="s">
        <v>18</v>
      </c>
    </row>
    <row r="21" spans="1:2" x14ac:dyDescent="1.4">
      <c r="A21" t="s">
        <v>59</v>
      </c>
      <c r="B21" s="5">
        <v>3000</v>
      </c>
    </row>
    <row r="22" spans="1:2" x14ac:dyDescent="1.4">
      <c r="A22" t="s">
        <v>19</v>
      </c>
      <c r="B22" s="5">
        <v>3050</v>
      </c>
    </row>
    <row r="23" spans="1:2" x14ac:dyDescent="1.4">
      <c r="A23" t="s">
        <v>20</v>
      </c>
      <c r="B23" s="5">
        <v>3300</v>
      </c>
    </row>
    <row r="24" spans="1:2" x14ac:dyDescent="1.4">
      <c r="A24" t="s">
        <v>21</v>
      </c>
      <c r="B24" s="5">
        <v>3050</v>
      </c>
    </row>
    <row r="25" spans="1:2" x14ac:dyDescent="1.4">
      <c r="A25" t="s">
        <v>22</v>
      </c>
      <c r="B25" s="5">
        <f>B24*B9*12</f>
        <v>3330600</v>
      </c>
    </row>
    <row r="27" spans="1:2" x14ac:dyDescent="1.4">
      <c r="A27" t="s">
        <v>23</v>
      </c>
    </row>
    <row r="28" spans="1:2" x14ac:dyDescent="1.4">
      <c r="A28" t="s">
        <v>24</v>
      </c>
      <c r="B28" s="6">
        <v>0.94</v>
      </c>
    </row>
    <row r="29" spans="1:2" x14ac:dyDescent="1.4">
      <c r="A29" t="s">
        <v>25</v>
      </c>
      <c r="B29" s="6">
        <v>0.95</v>
      </c>
    </row>
    <row r="30" spans="1:2" x14ac:dyDescent="1.4">
      <c r="A30" t="s">
        <v>26</v>
      </c>
      <c r="B30" s="6">
        <v>0.02</v>
      </c>
    </row>
    <row r="31" spans="1:2" x14ac:dyDescent="1.4">
      <c r="A31" t="s">
        <v>27</v>
      </c>
      <c r="B31" s="6">
        <v>4.4999999999999998E-2</v>
      </c>
    </row>
    <row r="32" spans="1:2" x14ac:dyDescent="1.4">
      <c r="A32" t="s">
        <v>28</v>
      </c>
      <c r="B32" s="6">
        <v>0.34</v>
      </c>
    </row>
    <row r="34" spans="1:2" x14ac:dyDescent="1.4">
      <c r="A34" t="s">
        <v>29</v>
      </c>
    </row>
    <row r="35" spans="1:2" x14ac:dyDescent="1.4">
      <c r="A35" t="s">
        <v>30</v>
      </c>
      <c r="B35" s="7">
        <v>55</v>
      </c>
    </row>
    <row r="36" spans="1:2" x14ac:dyDescent="1.4">
      <c r="A36" t="s">
        <v>31</v>
      </c>
      <c r="B36" s="5">
        <v>20000</v>
      </c>
    </row>
    <row r="37" spans="1:2" x14ac:dyDescent="1.4">
      <c r="A37" t="s">
        <v>33</v>
      </c>
      <c r="B37" s="5">
        <f>B35*B36</f>
        <v>1100000</v>
      </c>
    </row>
    <row r="38" spans="1:2" x14ac:dyDescent="1.4">
      <c r="A38" t="s">
        <v>32</v>
      </c>
      <c r="B38" s="5">
        <v>650000</v>
      </c>
    </row>
    <row r="39" spans="1:2" x14ac:dyDescent="1.4">
      <c r="A39" t="s">
        <v>34</v>
      </c>
      <c r="B39" s="5">
        <f>B37+B38</f>
        <v>1750000</v>
      </c>
    </row>
    <row r="40" spans="1:2" x14ac:dyDescent="1.4">
      <c r="A40" t="s">
        <v>35</v>
      </c>
      <c r="B40" s="5">
        <v>275</v>
      </c>
    </row>
    <row r="42" spans="1:2" x14ac:dyDescent="1.4">
      <c r="A42" t="s">
        <v>36</v>
      </c>
    </row>
    <row r="43" spans="1:2" x14ac:dyDescent="1.4">
      <c r="A43" t="s">
        <v>37</v>
      </c>
      <c r="B43" s="6">
        <v>0.6</v>
      </c>
    </row>
    <row r="44" spans="1:2" x14ac:dyDescent="1.4">
      <c r="A44" t="s">
        <v>38</v>
      </c>
      <c r="B44" s="5">
        <f>B14*B43</f>
        <v>22200000</v>
      </c>
    </row>
    <row r="45" spans="1:2" x14ac:dyDescent="1.4">
      <c r="A45" t="s">
        <v>39</v>
      </c>
      <c r="B45" s="6">
        <v>5.8500000000000003E-2</v>
      </c>
    </row>
    <row r="46" spans="1:2" x14ac:dyDescent="1.4">
      <c r="A46" t="s">
        <v>40</v>
      </c>
      <c r="B46">
        <v>30</v>
      </c>
    </row>
    <row r="47" spans="1:2" x14ac:dyDescent="1.4">
      <c r="A47" t="s">
        <v>41</v>
      </c>
      <c r="B47">
        <v>2</v>
      </c>
    </row>
    <row r="48" spans="1:2" x14ac:dyDescent="1.4">
      <c r="A48" t="s">
        <v>42</v>
      </c>
      <c r="B48">
        <v>5</v>
      </c>
    </row>
    <row r="50" spans="1:2" x14ac:dyDescent="1.4">
      <c r="A50" t="s">
        <v>43</v>
      </c>
    </row>
    <row r="51" spans="1:2" x14ac:dyDescent="1.4">
      <c r="A51" t="s">
        <v>44</v>
      </c>
      <c r="B51" s="6">
        <v>0.03</v>
      </c>
    </row>
    <row r="52" spans="1:2" x14ac:dyDescent="1.4">
      <c r="A52" t="s">
        <v>45</v>
      </c>
      <c r="B52" s="6">
        <v>3.5000000000000003E-2</v>
      </c>
    </row>
    <row r="53" spans="1:2" x14ac:dyDescent="1.4">
      <c r="A53" t="s">
        <v>46</v>
      </c>
      <c r="B53" s="6">
        <v>0.03</v>
      </c>
    </row>
    <row r="55" spans="1:2" x14ac:dyDescent="1.4">
      <c r="A55" t="s">
        <v>47</v>
      </c>
    </row>
    <row r="56" spans="1:2" x14ac:dyDescent="1.4">
      <c r="A56" t="s">
        <v>48</v>
      </c>
      <c r="B56">
        <v>5</v>
      </c>
    </row>
    <row r="57" spans="1:2" x14ac:dyDescent="1.4">
      <c r="A57" t="s">
        <v>49</v>
      </c>
      <c r="B57" s="10">
        <v>5.1499999999999997E-2</v>
      </c>
    </row>
    <row r="58" spans="1:2" x14ac:dyDescent="1.4">
      <c r="A58" t="s">
        <v>50</v>
      </c>
      <c r="B58" s="10">
        <v>1.4999999999999999E-2</v>
      </c>
    </row>
    <row r="60" spans="1:2" x14ac:dyDescent="1.4">
      <c r="A60" t="s">
        <v>51</v>
      </c>
    </row>
    <row r="61" spans="1:2" x14ac:dyDescent="1.4">
      <c r="A61" t="s">
        <v>52</v>
      </c>
      <c r="B61" t="s">
        <v>57</v>
      </c>
    </row>
    <row r="62" spans="1:2" x14ac:dyDescent="1.4">
      <c r="A62" t="s">
        <v>53</v>
      </c>
      <c r="B62" s="6" t="s">
        <v>55</v>
      </c>
    </row>
    <row r="63" spans="1:2" x14ac:dyDescent="1.4">
      <c r="A63" t="s">
        <v>54</v>
      </c>
      <c r="B63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1F3C-58B6-4C76-9176-9BD0346154E0}">
  <dimension ref="A1:H29"/>
  <sheetViews>
    <sheetView zoomScale="26" zoomScaleNormal="46" workbookViewId="0">
      <selection activeCell="F36" sqref="F36"/>
    </sheetView>
  </sheetViews>
  <sheetFormatPr defaultRowHeight="46.9" x14ac:dyDescent="1.4"/>
  <cols>
    <col min="1" max="1" width="53.46875" bestFit="1" customWidth="1"/>
    <col min="2" max="2" width="13.42578125" bestFit="1" customWidth="1"/>
    <col min="3" max="3" width="18.32421875" bestFit="1" customWidth="1"/>
    <col min="4" max="4" width="17.58984375" bestFit="1" customWidth="1"/>
    <col min="5" max="5" width="16.5703125" bestFit="1" customWidth="1"/>
    <col min="6" max="6" width="17.22265625" bestFit="1" customWidth="1"/>
    <col min="7" max="7" width="15.22265625" bestFit="1" customWidth="1"/>
    <col min="8" max="8" width="12.078125" bestFit="1" customWidth="1"/>
  </cols>
  <sheetData>
    <row r="1" spans="1:8" x14ac:dyDescent="1.4">
      <c r="A1" t="s">
        <v>60</v>
      </c>
    </row>
    <row r="3" spans="1:8" x14ac:dyDescent="1.4">
      <c r="A3" t="s">
        <v>61</v>
      </c>
    </row>
    <row r="4" spans="1:8" x14ac:dyDescent="1.4">
      <c r="A4" s="15" t="s">
        <v>62</v>
      </c>
      <c r="B4" s="15" t="s">
        <v>83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</row>
    <row r="5" spans="1:8" x14ac:dyDescent="1.4">
      <c r="A5" t="s">
        <v>63</v>
      </c>
      <c r="B5" t="s">
        <v>84</v>
      </c>
      <c r="C5">
        <v>1038</v>
      </c>
      <c r="D5">
        <v>26</v>
      </c>
      <c r="E5" s="8">
        <f>D5/$D$8</f>
        <v>0.2857142857142857</v>
      </c>
      <c r="F5" s="13">
        <v>3000</v>
      </c>
      <c r="G5">
        <f>F5+275</f>
        <v>3275</v>
      </c>
      <c r="H5">
        <f>G5-F5</f>
        <v>275</v>
      </c>
    </row>
    <row r="6" spans="1:8" x14ac:dyDescent="1.4">
      <c r="A6" t="s">
        <v>64</v>
      </c>
      <c r="B6" t="s">
        <v>84</v>
      </c>
      <c r="C6">
        <v>1088</v>
      </c>
      <c r="D6">
        <v>40</v>
      </c>
      <c r="E6" s="8">
        <f>D6/$D$8</f>
        <v>0.43956043956043955</v>
      </c>
      <c r="F6" s="13">
        <v>3050</v>
      </c>
      <c r="G6">
        <f>F6+275</f>
        <v>3325</v>
      </c>
      <c r="H6">
        <f>G6-F6</f>
        <v>275</v>
      </c>
    </row>
    <row r="7" spans="1:8" x14ac:dyDescent="1.4">
      <c r="A7" t="s">
        <v>65</v>
      </c>
      <c r="B7" t="s">
        <v>85</v>
      </c>
      <c r="C7">
        <v>1207</v>
      </c>
      <c r="D7">
        <v>25</v>
      </c>
      <c r="E7" s="8">
        <f>D7/$D$8</f>
        <v>0.27472527472527475</v>
      </c>
      <c r="F7" s="13">
        <v>3300</v>
      </c>
      <c r="G7">
        <f>F7+275</f>
        <v>3575</v>
      </c>
      <c r="H7">
        <f>G7-F7</f>
        <v>275</v>
      </c>
    </row>
    <row r="8" spans="1:8" x14ac:dyDescent="1.4">
      <c r="A8" s="15" t="s">
        <v>66</v>
      </c>
      <c r="B8" s="15"/>
      <c r="C8" s="16">
        <f>SUMPRODUCT(C5:C7, D5:D7)/D8</f>
        <v>1106.4065934065934</v>
      </c>
      <c r="D8" s="15">
        <f>SUM(D5:D7)</f>
        <v>91</v>
      </c>
      <c r="E8" s="17">
        <f>SUM(E5:E7)</f>
        <v>1</v>
      </c>
      <c r="F8" s="18">
        <f>SUMPRODUCT(F5:F7, D5:D7)/D8</f>
        <v>3104.3956043956046</v>
      </c>
      <c r="G8" s="18">
        <f>SUMPRODUCT(G5:G7, D5:D7)/D8</f>
        <v>3379.3956043956046</v>
      </c>
      <c r="H8" s="19">
        <f>G8-F8</f>
        <v>275</v>
      </c>
    </row>
    <row r="10" spans="1:8" x14ac:dyDescent="1.4">
      <c r="A10" t="s">
        <v>67</v>
      </c>
    </row>
    <row r="11" spans="1:8" x14ac:dyDescent="1.4">
      <c r="A11" t="s">
        <v>68</v>
      </c>
      <c r="B11" s="14">
        <f>SUMPRODUCT(F5:F7, D5:D7)*12</f>
        <v>3390000</v>
      </c>
    </row>
    <row r="12" spans="1:8" x14ac:dyDescent="1.4">
      <c r="A12" t="s">
        <v>69</v>
      </c>
      <c r="B12" s="14">
        <f>SUMPRODUCT(G5:G7, D5:D7)*12</f>
        <v>3690300</v>
      </c>
    </row>
    <row r="13" spans="1:8" x14ac:dyDescent="1.4">
      <c r="A13" t="s">
        <v>70</v>
      </c>
      <c r="B13" s="14">
        <f>B12-B11</f>
        <v>300300</v>
      </c>
    </row>
    <row r="15" spans="1:8" x14ac:dyDescent="1.4">
      <c r="A15" t="s">
        <v>71</v>
      </c>
    </row>
    <row r="16" spans="1:8" x14ac:dyDescent="1.4">
      <c r="A16" t="s">
        <v>72</v>
      </c>
      <c r="B16" t="s">
        <v>86</v>
      </c>
      <c r="C16" t="s">
        <v>93</v>
      </c>
      <c r="D16" t="s">
        <v>94</v>
      </c>
      <c r="E16" t="s">
        <v>95</v>
      </c>
      <c r="F16" t="s">
        <v>32</v>
      </c>
      <c r="G16" t="s">
        <v>96</v>
      </c>
    </row>
    <row r="17" spans="1:7" x14ac:dyDescent="1.4">
      <c r="A17" t="s">
        <v>73</v>
      </c>
      <c r="B17">
        <v>30</v>
      </c>
      <c r="C17">
        <f>B17</f>
        <v>30</v>
      </c>
      <c r="D17" s="8">
        <f>C17/$D$8</f>
        <v>0.32967032967032966</v>
      </c>
      <c r="E17" s="11">
        <f>B17*'Vista Ridge Assumptions'!$B$36</f>
        <v>600000</v>
      </c>
      <c r="F17" s="11">
        <v>400000</v>
      </c>
      <c r="G17" s="12">
        <f>E17+F17</f>
        <v>1000000</v>
      </c>
    </row>
    <row r="18" spans="1:7" x14ac:dyDescent="1.4">
      <c r="A18" t="s">
        <v>74</v>
      </c>
      <c r="B18">
        <v>25</v>
      </c>
      <c r="C18">
        <f>C17+B18</f>
        <v>55</v>
      </c>
      <c r="D18" s="9">
        <f>C18/$D$8</f>
        <v>0.60439560439560436</v>
      </c>
      <c r="E18" s="11">
        <f>B18*'Vista Ridge Assumptions'!$B$36</f>
        <v>500000</v>
      </c>
      <c r="F18" s="11">
        <v>250000</v>
      </c>
      <c r="G18" s="12">
        <f t="shared" ref="G18:G21" si="0">E18+F18</f>
        <v>750000</v>
      </c>
    </row>
    <row r="19" spans="1:7" x14ac:dyDescent="1.4">
      <c r="A19" t="s">
        <v>75</v>
      </c>
      <c r="B19">
        <v>0</v>
      </c>
      <c r="C19">
        <f>C18</f>
        <v>55</v>
      </c>
      <c r="D19" s="9">
        <f t="shared" ref="D19:D21" si="1">C19/$D$8</f>
        <v>0.60439560439560436</v>
      </c>
      <c r="E19" s="11">
        <v>0</v>
      </c>
      <c r="F19" s="11">
        <v>0</v>
      </c>
      <c r="G19" s="12">
        <f t="shared" si="0"/>
        <v>0</v>
      </c>
    </row>
    <row r="20" spans="1:7" x14ac:dyDescent="1.4">
      <c r="A20" t="s">
        <v>76</v>
      </c>
      <c r="B20">
        <v>0</v>
      </c>
      <c r="C20">
        <f>C19</f>
        <v>55</v>
      </c>
      <c r="D20" s="9">
        <f t="shared" si="1"/>
        <v>0.60439560439560436</v>
      </c>
      <c r="E20" s="11">
        <v>0</v>
      </c>
      <c r="F20" s="11">
        <v>0</v>
      </c>
      <c r="G20" s="12">
        <f t="shared" si="0"/>
        <v>0</v>
      </c>
    </row>
    <row r="21" spans="1:7" x14ac:dyDescent="1.4">
      <c r="A21" t="s">
        <v>77</v>
      </c>
      <c r="B21">
        <v>0</v>
      </c>
      <c r="C21">
        <f>C20</f>
        <v>55</v>
      </c>
      <c r="D21" s="9">
        <f t="shared" si="1"/>
        <v>0.60439560439560436</v>
      </c>
      <c r="E21" s="11">
        <v>0</v>
      </c>
      <c r="F21" s="11">
        <v>0</v>
      </c>
      <c r="G21" s="12">
        <f t="shared" si="0"/>
        <v>0</v>
      </c>
    </row>
    <row r="22" spans="1:7" x14ac:dyDescent="1.4">
      <c r="A22" t="s">
        <v>78</v>
      </c>
      <c r="B22">
        <f>SUM(B17:B21)</f>
        <v>55</v>
      </c>
      <c r="D22" s="9">
        <f>C21/$D$8</f>
        <v>0.60439560439560436</v>
      </c>
      <c r="E22" s="12">
        <f>SUM(E17:E21)</f>
        <v>1100000</v>
      </c>
      <c r="F22" s="12">
        <f>SUM(F17:F21)</f>
        <v>650000</v>
      </c>
      <c r="G22" s="12">
        <f>SUM(G17:G21)</f>
        <v>1750000</v>
      </c>
    </row>
    <row r="24" spans="1:7" x14ac:dyDescent="1.4">
      <c r="A24" t="s">
        <v>79</v>
      </c>
    </row>
    <row r="25" spans="1:7" x14ac:dyDescent="1.4">
      <c r="A25" t="s">
        <v>7</v>
      </c>
      <c r="B25">
        <f>'Vista Ridge Assumptions'!B9</f>
        <v>91</v>
      </c>
    </row>
    <row r="26" spans="1:7" x14ac:dyDescent="1.4">
      <c r="A26" t="s">
        <v>30</v>
      </c>
      <c r="B26">
        <f>B22</f>
        <v>55</v>
      </c>
    </row>
    <row r="27" spans="1:7" x14ac:dyDescent="1.4">
      <c r="A27" t="s">
        <v>80</v>
      </c>
      <c r="B27">
        <f>B25-B26</f>
        <v>36</v>
      </c>
    </row>
    <row r="28" spans="1:7" x14ac:dyDescent="1.4">
      <c r="A28" t="s">
        <v>81</v>
      </c>
      <c r="B28" s="6">
        <f>B26/B25</f>
        <v>0.60439560439560436</v>
      </c>
    </row>
    <row r="29" spans="1:7" x14ac:dyDescent="1.4">
      <c r="A29" t="s">
        <v>82</v>
      </c>
      <c r="B29" s="13">
        <f>B28*275</f>
        <v>166.20879120879121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5AA2-EA04-45B3-B8EE-5E19C1D0A57B}">
  <dimension ref="A1:G34"/>
  <sheetViews>
    <sheetView topLeftCell="A14" zoomScale="37" workbookViewId="0">
      <selection activeCell="A39" sqref="A39"/>
    </sheetView>
  </sheetViews>
  <sheetFormatPr defaultRowHeight="46.9" x14ac:dyDescent="1.4"/>
  <cols>
    <col min="1" max="1" width="30.62890625" bestFit="1" customWidth="1"/>
    <col min="2" max="7" width="13.734375" bestFit="1" customWidth="1"/>
  </cols>
  <sheetData>
    <row r="1" spans="1:7" x14ac:dyDescent="1.4">
      <c r="A1" s="27" t="s">
        <v>98</v>
      </c>
      <c r="B1" s="27"/>
      <c r="C1" s="27"/>
      <c r="D1" s="27"/>
      <c r="E1" s="27"/>
      <c r="F1" s="27"/>
      <c r="G1" s="27"/>
    </row>
    <row r="3" spans="1:7" x14ac:dyDescent="1.4">
      <c r="A3" s="27" t="s">
        <v>99</v>
      </c>
      <c r="B3" s="27"/>
      <c r="C3" s="27"/>
      <c r="D3" s="27"/>
      <c r="E3" s="27"/>
      <c r="F3" s="27"/>
      <c r="G3" s="27"/>
    </row>
    <row r="4" spans="1:7" x14ac:dyDescent="1.4">
      <c r="B4" t="s">
        <v>102</v>
      </c>
      <c r="C4" t="s">
        <v>73</v>
      </c>
      <c r="D4" t="s">
        <v>74</v>
      </c>
      <c r="E4" t="s">
        <v>75</v>
      </c>
      <c r="F4" t="s">
        <v>76</v>
      </c>
      <c r="G4" t="s">
        <v>77</v>
      </c>
    </row>
    <row r="6" spans="1:7" x14ac:dyDescent="1.4">
      <c r="A6" t="s">
        <v>100</v>
      </c>
    </row>
    <row r="7" spans="1:7" x14ac:dyDescent="1.4">
      <c r="A7" t="s">
        <v>101</v>
      </c>
      <c r="B7" s="13">
        <f>'Vista Ridge Rent Roll &amp; Renovat'!B11</f>
        <v>3390000</v>
      </c>
      <c r="C7" s="13">
        <f>B7*(1+'Vista Ridge Assumptions'!$B$51)</f>
        <v>3491700</v>
      </c>
      <c r="D7" s="13">
        <f>C7*(1+'Vista Ridge Assumptions'!$B$52)</f>
        <v>3613909.4999999995</v>
      </c>
      <c r="E7" s="13">
        <f>D7*(1+'Vista Ridge Assumptions'!$B$52)</f>
        <v>3740396.3324999991</v>
      </c>
      <c r="F7" s="13">
        <f>E7*(1+'Vista Ridge Assumptions'!$B$52)</f>
        <v>3871310.204137499</v>
      </c>
      <c r="G7" s="13">
        <f>F7*(1+'Vista Ridge Assumptions'!$B$52)</f>
        <v>4006806.0612823111</v>
      </c>
    </row>
    <row r="8" spans="1:7" x14ac:dyDescent="1.4">
      <c r="A8" t="s">
        <v>103</v>
      </c>
      <c r="B8" s="14">
        <v>0</v>
      </c>
      <c r="C8" s="14">
        <v>49500</v>
      </c>
      <c r="D8" s="14">
        <v>140250</v>
      </c>
      <c r="E8" s="14">
        <v>181500</v>
      </c>
      <c r="F8" s="14">
        <v>181500</v>
      </c>
      <c r="G8" s="14">
        <v>181500</v>
      </c>
    </row>
    <row r="9" spans="1:7" x14ac:dyDescent="1.4">
      <c r="A9" t="s">
        <v>104</v>
      </c>
      <c r="B9" s="14">
        <f>B7+B8</f>
        <v>3390000</v>
      </c>
      <c r="C9" s="14">
        <f t="shared" ref="C9:G9" si="0">C7+C8</f>
        <v>3541200</v>
      </c>
      <c r="D9" s="14">
        <f t="shared" si="0"/>
        <v>3754159.4999999995</v>
      </c>
      <c r="E9" s="14">
        <f t="shared" si="0"/>
        <v>3921896.3324999991</v>
      </c>
      <c r="F9" s="14">
        <f t="shared" si="0"/>
        <v>4052810.204137499</v>
      </c>
      <c r="G9" s="14">
        <f t="shared" si="0"/>
        <v>4188306.0612823111</v>
      </c>
    </row>
    <row r="10" spans="1:7" x14ac:dyDescent="1.4">
      <c r="A10" t="s">
        <v>105</v>
      </c>
      <c r="B10" s="13">
        <f>-B9*(1-'Vista Ridge Assumptions'!$B$28)</f>
        <v>-203400.00000000017</v>
      </c>
      <c r="C10" s="13">
        <f>-C9*(1-'Vista Ridge Assumptions'!$B$28)</f>
        <v>-212472.00000000017</v>
      </c>
      <c r="D10" s="13">
        <f>-D9*(1-'Vista Ridge Assumptions'!$B$28)</f>
        <v>-225249.57000000018</v>
      </c>
      <c r="E10" s="13">
        <f>-E9*(1-'Vista Ridge Assumptions'!$B$28)</f>
        <v>-235313.77995000014</v>
      </c>
      <c r="F10" s="13">
        <f>-F9*(1-'Vista Ridge Assumptions'!$B$28)</f>
        <v>-243168.61224825017</v>
      </c>
      <c r="G10" s="13">
        <f>-G9*(1-'Vista Ridge Assumptions'!$B$28)</f>
        <v>-251298.3636769389</v>
      </c>
    </row>
    <row r="11" spans="1:7" x14ac:dyDescent="1.4">
      <c r="A11" t="s">
        <v>106</v>
      </c>
      <c r="B11" s="13">
        <f>-B9*'Vista Ridge Assumptions'!$B$30</f>
        <v>-67800</v>
      </c>
      <c r="C11" s="13">
        <f>-C9*'Vista Ridge Assumptions'!$B$30</f>
        <v>-70824</v>
      </c>
      <c r="D11" s="13">
        <f>-D9*'Vista Ridge Assumptions'!$B$30</f>
        <v>-75083.189999999988</v>
      </c>
      <c r="E11" s="13">
        <f>-E9*'Vista Ridge Assumptions'!$B$30</f>
        <v>-78437.926649999979</v>
      </c>
      <c r="F11" s="13">
        <f>-F9*'Vista Ridge Assumptions'!$B$30</f>
        <v>-81056.204082749988</v>
      </c>
      <c r="G11" s="13">
        <f>-G9*'Vista Ridge Assumptions'!$B$30</f>
        <v>-83766.121225646217</v>
      </c>
    </row>
    <row r="12" spans="1:7" x14ac:dyDescent="1.4">
      <c r="A12" t="s">
        <v>107</v>
      </c>
      <c r="B12" s="14">
        <f>SUM(B9:B11)</f>
        <v>3118800</v>
      </c>
      <c r="C12" s="14">
        <f t="shared" ref="C12:G12" si="1">SUM(C9:C11)</f>
        <v>3257904</v>
      </c>
      <c r="D12" s="14">
        <f t="shared" si="1"/>
        <v>3453826.7399999993</v>
      </c>
      <c r="E12" s="14">
        <f t="shared" si="1"/>
        <v>3608144.6258999989</v>
      </c>
      <c r="F12" s="14">
        <f t="shared" si="1"/>
        <v>3728585.3878064989</v>
      </c>
      <c r="G12" s="14">
        <f t="shared" si="1"/>
        <v>3853241.5763797262</v>
      </c>
    </row>
    <row r="13" spans="1:7" x14ac:dyDescent="1.4">
      <c r="A13" t="s">
        <v>108</v>
      </c>
      <c r="B13" s="14">
        <f>B9*'Vista Ridge Assumptions'!$B$31</f>
        <v>152550</v>
      </c>
      <c r="C13" s="14">
        <f>C9*'Vista Ridge Assumptions'!$B$31</f>
        <v>159354</v>
      </c>
      <c r="D13" s="14">
        <f>D9*'Vista Ridge Assumptions'!$B$31</f>
        <v>168937.17749999996</v>
      </c>
      <c r="E13" s="14">
        <f>E9*'Vista Ridge Assumptions'!$B$31</f>
        <v>176485.33496249994</v>
      </c>
      <c r="F13" s="14">
        <f>F9*'Vista Ridge Assumptions'!$B$31</f>
        <v>182376.45918618745</v>
      </c>
      <c r="G13" s="14">
        <f>G9*'Vista Ridge Assumptions'!$B$31</f>
        <v>188473.77275770399</v>
      </c>
    </row>
    <row r="14" spans="1:7" x14ac:dyDescent="1.4">
      <c r="A14" t="s">
        <v>109</v>
      </c>
      <c r="B14" s="14">
        <f>B12+B13</f>
        <v>3271350</v>
      </c>
      <c r="C14" s="14">
        <f t="shared" ref="C14:G14" si="2">C12+C13</f>
        <v>3417258</v>
      </c>
      <c r="D14" s="14">
        <f t="shared" si="2"/>
        <v>3622763.9174999991</v>
      </c>
      <c r="E14" s="14">
        <f t="shared" si="2"/>
        <v>3784629.9608624987</v>
      </c>
      <c r="F14" s="14">
        <f t="shared" si="2"/>
        <v>3910961.8469926864</v>
      </c>
      <c r="G14" s="14">
        <f t="shared" si="2"/>
        <v>4041715.3491374301</v>
      </c>
    </row>
    <row r="15" spans="1:7" x14ac:dyDescent="1.4">
      <c r="B15" s="14"/>
      <c r="C15" s="14"/>
      <c r="D15" s="14"/>
      <c r="E15" s="14"/>
      <c r="F15" s="14"/>
      <c r="G15" s="14"/>
    </row>
    <row r="16" spans="1:7" x14ac:dyDescent="1.4">
      <c r="A16" t="s">
        <v>110</v>
      </c>
      <c r="B16" s="14"/>
      <c r="C16" s="14"/>
      <c r="D16" s="14"/>
      <c r="E16" s="14"/>
      <c r="F16" s="14"/>
      <c r="G16" s="14"/>
    </row>
    <row r="17" spans="1:7" x14ac:dyDescent="1.4">
      <c r="A17" t="s">
        <v>111</v>
      </c>
      <c r="B17" s="14">
        <f>B14*0.13</f>
        <v>425275.5</v>
      </c>
      <c r="C17" s="14">
        <f>B17*(1+'Vista Ridge Assumptions'!$B$53)</f>
        <v>438033.76500000001</v>
      </c>
      <c r="D17" s="14">
        <f>C17*(1+'Vista Ridge Assumptions'!$B$53)</f>
        <v>451174.77795000002</v>
      </c>
      <c r="E17" s="14">
        <f>D17*(1+'Vista Ridge Assumptions'!$B$53)</f>
        <v>464710.02128850005</v>
      </c>
      <c r="F17" s="14">
        <f>E17*(1+'Vista Ridge Assumptions'!$B$53)</f>
        <v>478651.32192715508</v>
      </c>
      <c r="G17" s="14">
        <f>F17*(1+'Vista Ridge Assumptions'!$B$53)</f>
        <v>493010.86158496974</v>
      </c>
    </row>
    <row r="18" spans="1:7" x14ac:dyDescent="1.4">
      <c r="A18" t="s">
        <v>112</v>
      </c>
      <c r="B18" s="14">
        <f>B14*0.04</f>
        <v>130854</v>
      </c>
      <c r="C18" s="14">
        <f>B18*(1+'Vista Ridge Assumptions'!$B$53)</f>
        <v>134779.62</v>
      </c>
      <c r="D18" s="14">
        <f>C18*(1+'Vista Ridge Assumptions'!$B$53)</f>
        <v>138823.0086</v>
      </c>
      <c r="E18" s="14">
        <f>D18*(1+'Vista Ridge Assumptions'!$B$53)</f>
        <v>142987.69885800002</v>
      </c>
      <c r="F18" s="14">
        <f>E18*(1+'Vista Ridge Assumptions'!$B$53)</f>
        <v>147277.32982374003</v>
      </c>
      <c r="G18" s="14">
        <f>F18*(1+'Vista Ridge Assumptions'!$B$53)</f>
        <v>151695.64971845224</v>
      </c>
    </row>
    <row r="19" spans="1:7" x14ac:dyDescent="1.4">
      <c r="A19" t="s">
        <v>113</v>
      </c>
      <c r="B19" s="14">
        <f>B14*0.05</f>
        <v>163567.5</v>
      </c>
      <c r="C19" s="14">
        <f>B19*(1+'Vista Ridge Assumptions'!$B$53)</f>
        <v>168474.52499999999</v>
      </c>
      <c r="D19" s="14">
        <f>C19*(1+'Vista Ridge Assumptions'!$B$53)</f>
        <v>173528.76074999999</v>
      </c>
      <c r="E19" s="14">
        <f>D19*(1+'Vista Ridge Assumptions'!$B$53)</f>
        <v>178734.62357249999</v>
      </c>
      <c r="F19" s="14">
        <f>E19*(1+'Vista Ridge Assumptions'!$B$53)</f>
        <v>184096.66227967499</v>
      </c>
      <c r="G19" s="14">
        <f>F19*(1+'Vista Ridge Assumptions'!$B$53)</f>
        <v>189619.56214806525</v>
      </c>
    </row>
    <row r="20" spans="1:7" x14ac:dyDescent="1.4">
      <c r="A20" t="s">
        <v>114</v>
      </c>
      <c r="B20" s="14">
        <f>B14*0.04</f>
        <v>130854</v>
      </c>
      <c r="C20" s="14">
        <f>B20*(1+'Vista Ridge Assumptions'!$B$53)</f>
        <v>134779.62</v>
      </c>
      <c r="D20" s="14">
        <f>C20*(1+'Vista Ridge Assumptions'!$B$53)</f>
        <v>138823.0086</v>
      </c>
      <c r="E20" s="14">
        <f>D20*(1+'Vista Ridge Assumptions'!$B$53)</f>
        <v>142987.69885800002</v>
      </c>
      <c r="F20" s="14">
        <f>E20*(1+'Vista Ridge Assumptions'!$B$53)</f>
        <v>147277.32982374003</v>
      </c>
      <c r="G20" s="14">
        <f>F20*(1+'Vista Ridge Assumptions'!$B$53)</f>
        <v>151695.64971845224</v>
      </c>
    </row>
    <row r="21" spans="1:7" x14ac:dyDescent="1.4">
      <c r="A21" t="s">
        <v>115</v>
      </c>
      <c r="B21" s="14">
        <f>B14*0.03</f>
        <v>98140.5</v>
      </c>
      <c r="C21" s="14">
        <f t="shared" ref="C21:G21" si="3">C14*0.03</f>
        <v>102517.73999999999</v>
      </c>
      <c r="D21" s="14">
        <f t="shared" si="3"/>
        <v>108682.91752499997</v>
      </c>
      <c r="E21" s="14">
        <f t="shared" si="3"/>
        <v>113538.89882587496</v>
      </c>
      <c r="F21" s="14">
        <f t="shared" si="3"/>
        <v>117328.85540978059</v>
      </c>
      <c r="G21" s="14">
        <f t="shared" si="3"/>
        <v>121251.4604741229</v>
      </c>
    </row>
    <row r="22" spans="1:7" x14ac:dyDescent="1.4">
      <c r="A22" t="s">
        <v>116</v>
      </c>
      <c r="B22" s="14">
        <f>B14*0.04</f>
        <v>130854</v>
      </c>
      <c r="C22" s="14">
        <f>B22*(1+'Vista Ridge Assumptions'!$B$53)</f>
        <v>134779.62</v>
      </c>
      <c r="D22" s="14">
        <f>C22*(1+'Vista Ridge Assumptions'!$B$53)</f>
        <v>138823.0086</v>
      </c>
      <c r="E22" s="14">
        <f>D22*(1+'Vista Ridge Assumptions'!$B$53)</f>
        <v>142987.69885800002</v>
      </c>
      <c r="F22" s="14">
        <f>E22*(1+'Vista Ridge Assumptions'!$B$53)</f>
        <v>147277.32982374003</v>
      </c>
      <c r="G22" s="14">
        <f>F22*(1+'Vista Ridge Assumptions'!$B$53)</f>
        <v>151695.64971845224</v>
      </c>
    </row>
    <row r="23" spans="1:7" x14ac:dyDescent="1.4">
      <c r="A23" t="s">
        <v>117</v>
      </c>
      <c r="B23" s="14">
        <f>B14*0.01</f>
        <v>32713.5</v>
      </c>
      <c r="C23" s="14">
        <f>B23*(1+'Vista Ridge Assumptions'!$B$53)</f>
        <v>33694.904999999999</v>
      </c>
      <c r="D23" s="14">
        <f>C23*(1+'Vista Ridge Assumptions'!$B$53)</f>
        <v>34705.75215</v>
      </c>
      <c r="E23" s="14">
        <f>D23*(1+'Vista Ridge Assumptions'!$B$53)</f>
        <v>35746.924714500004</v>
      </c>
      <c r="F23" s="14">
        <f>E23*(1+'Vista Ridge Assumptions'!$B$53)</f>
        <v>36819.332455935008</v>
      </c>
      <c r="G23" s="14">
        <f>F23*(1+'Vista Ridge Assumptions'!$B$53)</f>
        <v>37923.912429613061</v>
      </c>
    </row>
    <row r="24" spans="1:7" x14ac:dyDescent="1.4">
      <c r="A24" t="s">
        <v>118</v>
      </c>
      <c r="B24" s="14">
        <f>SUM(B17:B23)</f>
        <v>1112259</v>
      </c>
      <c r="C24" s="14">
        <f t="shared" ref="C24:G24" si="4">SUM(C17:C23)</f>
        <v>1147059.7950000002</v>
      </c>
      <c r="D24" s="14">
        <f t="shared" si="4"/>
        <v>1184561.2341750001</v>
      </c>
      <c r="E24" s="14">
        <f t="shared" si="4"/>
        <v>1221693.5649753751</v>
      </c>
      <c r="F24" s="14">
        <f t="shared" si="4"/>
        <v>1258728.1615437658</v>
      </c>
      <c r="G24" s="14">
        <f t="shared" si="4"/>
        <v>1296892.7457921277</v>
      </c>
    </row>
    <row r="25" spans="1:7" x14ac:dyDescent="1.4">
      <c r="A25" t="s">
        <v>119</v>
      </c>
      <c r="B25" s="9">
        <f>B24/B14</f>
        <v>0.34</v>
      </c>
      <c r="C25" s="9">
        <f t="shared" ref="C25:G25" si="5">C24/C14</f>
        <v>0.33566672314469675</v>
      </c>
      <c r="D25" s="9">
        <f t="shared" si="5"/>
        <v>0.3269772088799105</v>
      </c>
      <c r="E25" s="9">
        <f t="shared" si="5"/>
        <v>0.32280396699521902</v>
      </c>
      <c r="F25" s="9">
        <f t="shared" si="5"/>
        <v>0.32184618791708702</v>
      </c>
      <c r="G25" s="9">
        <f t="shared" si="5"/>
        <v>0.32087681436272014</v>
      </c>
    </row>
    <row r="27" spans="1:7" x14ac:dyDescent="1.4">
      <c r="A27" t="s">
        <v>120</v>
      </c>
    </row>
    <row r="28" spans="1:7" x14ac:dyDescent="1.4">
      <c r="A28" t="s">
        <v>121</v>
      </c>
      <c r="B28" s="14">
        <f>B14-B24</f>
        <v>2159091</v>
      </c>
      <c r="C28" s="14">
        <f t="shared" ref="C28:G28" si="6">C14-C24</f>
        <v>2270198.2050000001</v>
      </c>
      <c r="D28" s="14">
        <f t="shared" si="6"/>
        <v>2438202.6833249992</v>
      </c>
      <c r="E28" s="14">
        <f t="shared" si="6"/>
        <v>2562936.3958871234</v>
      </c>
      <c r="F28" s="14">
        <f t="shared" si="6"/>
        <v>2652233.6854489204</v>
      </c>
      <c r="G28" s="14">
        <f t="shared" si="6"/>
        <v>2744822.6033453024</v>
      </c>
    </row>
    <row r="29" spans="1:7" x14ac:dyDescent="1.4">
      <c r="A29" t="s">
        <v>122</v>
      </c>
      <c r="B29" t="s">
        <v>97</v>
      </c>
      <c r="C29" s="9">
        <f>C28/B28-1</f>
        <v>5.1460176991150464E-2</v>
      </c>
      <c r="D29" s="9">
        <f t="shared" ref="D29:G29" si="7">D28/C28-1</f>
        <v>7.4004321717362709E-2</v>
      </c>
      <c r="E29" s="9">
        <f t="shared" si="7"/>
        <v>5.115805729162104E-2</v>
      </c>
      <c r="F29" s="9">
        <f t="shared" si="7"/>
        <v>3.4841789170069415E-2</v>
      </c>
      <c r="G29" s="9">
        <f t="shared" si="7"/>
        <v>3.4909788833599853E-2</v>
      </c>
    </row>
    <row r="31" spans="1:7" x14ac:dyDescent="1.4">
      <c r="A31" t="s">
        <v>123</v>
      </c>
    </row>
    <row r="32" spans="1:7" x14ac:dyDescent="1.4">
      <c r="A32" t="s">
        <v>124</v>
      </c>
      <c r="B32" s="13">
        <f>'Vista Ridge Assumptions'!$B$9*300</f>
        <v>27300</v>
      </c>
      <c r="C32" s="13">
        <f>B32*(1+'Vista Ridge Assumptions'!$B$53)</f>
        <v>28119</v>
      </c>
      <c r="D32" s="13">
        <f>C32*(1+'Vista Ridge Assumptions'!$B$53)</f>
        <v>28962.57</v>
      </c>
      <c r="E32" s="13">
        <f>D32*(1+'Vista Ridge Assumptions'!$B$53)</f>
        <v>29831.447100000001</v>
      </c>
      <c r="F32" s="13">
        <f>E32*(1+'Vista Ridge Assumptions'!$B$53)</f>
        <v>30726.390513000002</v>
      </c>
      <c r="G32" s="13">
        <f>F32*(1+'Vista Ridge Assumptions'!$B$53)</f>
        <v>31648.182228390004</v>
      </c>
    </row>
    <row r="33" spans="1:7" x14ac:dyDescent="1.4">
      <c r="A33" t="s">
        <v>125</v>
      </c>
      <c r="B33">
        <v>0</v>
      </c>
      <c r="C33" s="12">
        <f>'Vista Ridge Rent Roll &amp; Renovat'!G17</f>
        <v>1000000</v>
      </c>
      <c r="D33" s="12">
        <f>'Vista Ridge Rent Roll &amp; Renovat'!G18</f>
        <v>750000</v>
      </c>
      <c r="E33">
        <v>0</v>
      </c>
      <c r="F33">
        <v>0</v>
      </c>
      <c r="G33">
        <v>0</v>
      </c>
    </row>
    <row r="34" spans="1:7" x14ac:dyDescent="1.4">
      <c r="A34" t="s">
        <v>126</v>
      </c>
      <c r="B34" s="14">
        <f>B32+B33</f>
        <v>27300</v>
      </c>
      <c r="C34" s="14">
        <f t="shared" ref="C34:G34" si="8">C32+C33</f>
        <v>1028119</v>
      </c>
      <c r="D34" s="14">
        <f t="shared" si="8"/>
        <v>778962.57</v>
      </c>
      <c r="E34" s="14">
        <f t="shared" si="8"/>
        <v>29831.447100000001</v>
      </c>
      <c r="F34" s="14">
        <f t="shared" si="8"/>
        <v>30726.390513000002</v>
      </c>
      <c r="G34" s="14">
        <f t="shared" si="8"/>
        <v>31648.182228390004</v>
      </c>
    </row>
  </sheetData>
  <mergeCells count="2">
    <mergeCell ref="A1:G1"/>
    <mergeCell ref="A3:G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29DAC-57A1-4FFB-9AF4-320D58B61A47}">
  <dimension ref="A1:G41"/>
  <sheetViews>
    <sheetView topLeftCell="A16" zoomScale="26" workbookViewId="0">
      <selection activeCell="B47" sqref="B47"/>
    </sheetView>
  </sheetViews>
  <sheetFormatPr defaultRowHeight="46.9" x14ac:dyDescent="1.4"/>
  <cols>
    <col min="1" max="1" width="52.12109375" customWidth="1"/>
    <col min="2" max="2" width="13.48828125" bestFit="1" customWidth="1"/>
    <col min="3" max="7" width="14.32421875" bestFit="1" customWidth="1"/>
  </cols>
  <sheetData>
    <row r="1" spans="1:2" x14ac:dyDescent="1.4">
      <c r="A1" t="s">
        <v>127</v>
      </c>
    </row>
    <row r="3" spans="1:2" x14ac:dyDescent="1.4">
      <c r="A3" t="s">
        <v>128</v>
      </c>
    </row>
    <row r="5" spans="1:2" x14ac:dyDescent="1.4">
      <c r="A5" t="s">
        <v>129</v>
      </c>
    </row>
    <row r="6" spans="1:2" x14ac:dyDescent="1.4">
      <c r="A6" t="s">
        <v>13</v>
      </c>
      <c r="B6" s="13">
        <f>'Vista Ridge Assumptions'!B14</f>
        <v>37000000</v>
      </c>
    </row>
    <row r="7" spans="1:2" x14ac:dyDescent="1.4">
      <c r="A7" t="s">
        <v>130</v>
      </c>
      <c r="B7" s="13">
        <f>'Vista Ridge Assumptions'!B18</f>
        <v>740000</v>
      </c>
    </row>
    <row r="8" spans="1:2" x14ac:dyDescent="1.4">
      <c r="A8" t="s">
        <v>131</v>
      </c>
      <c r="B8" s="13">
        <f>'Vista Ridge Rent Roll &amp; Renovat'!G22</f>
        <v>1750000</v>
      </c>
    </row>
    <row r="9" spans="1:2" x14ac:dyDescent="1.4">
      <c r="A9" t="s">
        <v>132</v>
      </c>
      <c r="B9" s="13">
        <v>250000</v>
      </c>
    </row>
    <row r="10" spans="1:2" x14ac:dyDescent="1.4">
      <c r="A10" t="s">
        <v>133</v>
      </c>
      <c r="B10" s="13">
        <f>SUM(B6:B9)</f>
        <v>39740000</v>
      </c>
    </row>
    <row r="12" spans="1:2" x14ac:dyDescent="1.4">
      <c r="A12" t="s">
        <v>134</v>
      </c>
    </row>
    <row r="13" spans="1:2" x14ac:dyDescent="1.4">
      <c r="A13" t="s">
        <v>135</v>
      </c>
      <c r="B13" s="20">
        <f>'Vista Ridge Assumptions'!B44</f>
        <v>22200000</v>
      </c>
    </row>
    <row r="14" spans="1:2" x14ac:dyDescent="1.4">
      <c r="A14" t="s">
        <v>136</v>
      </c>
      <c r="B14" s="14">
        <f>B10-B13</f>
        <v>17540000</v>
      </c>
    </row>
    <row r="15" spans="1:2" x14ac:dyDescent="1.4">
      <c r="A15" t="s">
        <v>137</v>
      </c>
      <c r="B15" s="20">
        <f>B13+B14</f>
        <v>39740000</v>
      </c>
    </row>
    <row r="16" spans="1:2" x14ac:dyDescent="1.4">
      <c r="A16" t="s">
        <v>138</v>
      </c>
      <c r="B16" s="20">
        <f>B15-B10</f>
        <v>0</v>
      </c>
    </row>
    <row r="18" spans="1:7" x14ac:dyDescent="1.4">
      <c r="A18" t="s">
        <v>139</v>
      </c>
      <c r="B18" s="9">
        <f>B13/B6</f>
        <v>0.6</v>
      </c>
    </row>
    <row r="19" spans="1:7" x14ac:dyDescent="1.4">
      <c r="A19" t="s">
        <v>140</v>
      </c>
      <c r="B19" s="9">
        <f>B13/B10</f>
        <v>0.55863110216406642</v>
      </c>
    </row>
    <row r="20" spans="1:7" x14ac:dyDescent="1.4">
      <c r="A20" t="s">
        <v>141</v>
      </c>
      <c r="B20" s="9">
        <f>B14/B10</f>
        <v>0.44136889783593358</v>
      </c>
    </row>
    <row r="22" spans="1:7" x14ac:dyDescent="1.4">
      <c r="A22" t="s">
        <v>142</v>
      </c>
    </row>
    <row r="24" spans="1:7" x14ac:dyDescent="1.4">
      <c r="A24" t="s">
        <v>143</v>
      </c>
      <c r="B24" s="21">
        <f>-PMT('Vista Ridge Assumptions'!$B$45, 'Vista Ridge Assumptions'!$B$46, 'Vista Ridge Assumptions'!$B$44)</f>
        <v>1587005.2028576243</v>
      </c>
    </row>
    <row r="26" spans="1:7" x14ac:dyDescent="1.4">
      <c r="B26" t="s">
        <v>149</v>
      </c>
      <c r="C26" t="s">
        <v>73</v>
      </c>
      <c r="D26" t="s">
        <v>74</v>
      </c>
      <c r="E26" t="s">
        <v>75</v>
      </c>
      <c r="F26" t="s">
        <v>76</v>
      </c>
      <c r="G26" t="s">
        <v>77</v>
      </c>
    </row>
    <row r="27" spans="1:7" x14ac:dyDescent="1.4">
      <c r="A27" t="s">
        <v>144</v>
      </c>
      <c r="B27" s="13">
        <v>0</v>
      </c>
      <c r="C27" s="13">
        <f>'Vista Ridge Assumptions'!$B$44</f>
        <v>22200000</v>
      </c>
      <c r="D27" s="13">
        <f>C30</f>
        <v>22200000</v>
      </c>
      <c r="E27" s="13">
        <f t="shared" ref="E27:G27" si="0">D30</f>
        <v>22200000</v>
      </c>
      <c r="F27" s="13">
        <f t="shared" si="0"/>
        <v>21911694.797142375</v>
      </c>
      <c r="G27" s="13">
        <f t="shared" si="0"/>
        <v>21606523.73991758</v>
      </c>
    </row>
    <row r="28" spans="1:7" x14ac:dyDescent="1.4">
      <c r="A28" t="s">
        <v>145</v>
      </c>
      <c r="B28" s="13">
        <v>0</v>
      </c>
      <c r="C28" s="13">
        <f>C27*'Vista Ridge Assumptions'!$B$45</f>
        <v>1298700</v>
      </c>
      <c r="D28" s="13">
        <f>D27*'Vista Ridge Assumptions'!$B$45</f>
        <v>1298700</v>
      </c>
      <c r="E28" s="13">
        <f>E27*'Vista Ridge Assumptions'!$B$45</f>
        <v>1298700</v>
      </c>
      <c r="F28" s="13">
        <f>F27*'Vista Ridge Assumptions'!$B$45</f>
        <v>1281834.1456328291</v>
      </c>
      <c r="G28" s="13">
        <f>G27*'Vista Ridge Assumptions'!$B$45</f>
        <v>1263981.6387851785</v>
      </c>
    </row>
    <row r="29" spans="1:7" x14ac:dyDescent="1.4">
      <c r="A29" t="s">
        <v>146</v>
      </c>
      <c r="B29" s="13">
        <v>0</v>
      </c>
      <c r="C29" s="13">
        <v>0</v>
      </c>
      <c r="D29" s="13">
        <v>0</v>
      </c>
      <c r="E29" s="13">
        <f>$B$24-E28</f>
        <v>288305.20285762427</v>
      </c>
      <c r="F29" s="13">
        <f t="shared" ref="F29:G29" si="1">$B$24-F28</f>
        <v>305171.05722479522</v>
      </c>
      <c r="G29" s="13">
        <f t="shared" si="1"/>
        <v>323023.56407244573</v>
      </c>
    </row>
    <row r="30" spans="1:7" x14ac:dyDescent="1.4">
      <c r="A30" t="s">
        <v>147</v>
      </c>
      <c r="B30" s="13">
        <v>0</v>
      </c>
      <c r="C30" s="13">
        <f>C27-C29</f>
        <v>22200000</v>
      </c>
      <c r="D30" s="13">
        <f t="shared" ref="D30:G30" si="2">D27-D29</f>
        <v>22200000</v>
      </c>
      <c r="E30" s="13">
        <f t="shared" si="2"/>
        <v>21911694.797142375</v>
      </c>
      <c r="F30" s="13">
        <f t="shared" si="2"/>
        <v>21606523.73991758</v>
      </c>
      <c r="G30" s="13">
        <f t="shared" si="2"/>
        <v>21283500.175845135</v>
      </c>
    </row>
    <row r="31" spans="1:7" x14ac:dyDescent="1.4">
      <c r="A31" t="s">
        <v>148</v>
      </c>
      <c r="B31" s="13">
        <v>0</v>
      </c>
      <c r="C31" s="14">
        <f>C28+C29</f>
        <v>1298700</v>
      </c>
      <c r="D31" s="14">
        <f t="shared" ref="D31:G31" si="3">D28+D29</f>
        <v>1298700</v>
      </c>
      <c r="E31" s="14">
        <f t="shared" si="3"/>
        <v>1587005.2028576243</v>
      </c>
      <c r="F31" s="14">
        <f t="shared" si="3"/>
        <v>1587005.2028576243</v>
      </c>
      <c r="G31" s="14">
        <f t="shared" si="3"/>
        <v>1587005.2028576243</v>
      </c>
    </row>
    <row r="33" spans="1:7" x14ac:dyDescent="1.4">
      <c r="A33" t="s">
        <v>150</v>
      </c>
    </row>
    <row r="34" spans="1:7" x14ac:dyDescent="1.4">
      <c r="A34" t="s">
        <v>151</v>
      </c>
      <c r="B34" s="13">
        <f>'Operating Model'!B28</f>
        <v>2159091</v>
      </c>
      <c r="C34" s="13">
        <f>'Operating Model'!C28</f>
        <v>2270198.2050000001</v>
      </c>
      <c r="D34" s="13">
        <f>'Operating Model'!D28</f>
        <v>2438202.6833249992</v>
      </c>
      <c r="E34" s="13">
        <f>'Operating Model'!E28</f>
        <v>2562936.3958871234</v>
      </c>
      <c r="F34" s="13">
        <f>'Operating Model'!F28</f>
        <v>2652233.6854489204</v>
      </c>
      <c r="G34" s="13">
        <f>'Operating Model'!G28</f>
        <v>2744822.6033453024</v>
      </c>
    </row>
    <row r="35" spans="1:7" x14ac:dyDescent="1.4">
      <c r="A35" t="s">
        <v>148</v>
      </c>
      <c r="B35" s="14">
        <f>B31</f>
        <v>0</v>
      </c>
      <c r="C35" s="14">
        <f t="shared" ref="C35:G35" si="4">C31</f>
        <v>1298700</v>
      </c>
      <c r="D35" s="14">
        <f t="shared" si="4"/>
        <v>1298700</v>
      </c>
      <c r="E35" s="14">
        <f t="shared" si="4"/>
        <v>1587005.2028576243</v>
      </c>
      <c r="F35" s="14">
        <f t="shared" si="4"/>
        <v>1587005.2028576243</v>
      </c>
      <c r="G35" s="14">
        <f t="shared" si="4"/>
        <v>1587005.2028576243</v>
      </c>
    </row>
    <row r="36" spans="1:7" x14ac:dyDescent="1.4">
      <c r="A36" t="s">
        <v>152</v>
      </c>
      <c r="B36" s="22" t="s">
        <v>97</v>
      </c>
      <c r="C36" s="23">
        <f>C34/C35</f>
        <v>1.7480543659043659</v>
      </c>
      <c r="D36" s="23">
        <f t="shared" ref="D36:G36" si="5">D34/D35</f>
        <v>1.877417943578193</v>
      </c>
      <c r="E36" s="23">
        <f t="shared" si="5"/>
        <v>1.6149514767010209</v>
      </c>
      <c r="F36" s="23">
        <f t="shared" si="5"/>
        <v>1.6712192755721302</v>
      </c>
      <c r="G36" s="23">
        <f t="shared" si="5"/>
        <v>1.729561187576995</v>
      </c>
    </row>
    <row r="38" spans="1:7" x14ac:dyDescent="1.4">
      <c r="A38" t="s">
        <v>153</v>
      </c>
    </row>
    <row r="39" spans="1:7" x14ac:dyDescent="1.4">
      <c r="A39" t="s">
        <v>154</v>
      </c>
      <c r="B39" s="14">
        <f>G30</f>
        <v>21283500.175845135</v>
      </c>
    </row>
    <row r="40" spans="1:7" x14ac:dyDescent="1.4">
      <c r="A40" t="s">
        <v>155</v>
      </c>
      <c r="B40" s="14">
        <f>'Vista Ridge Assumptions'!$B$44-'S&amp;U + Debt Schedule'!B39</f>
        <v>916499.824154865</v>
      </c>
    </row>
    <row r="41" spans="1:7" x14ac:dyDescent="1.4">
      <c r="A41" t="s">
        <v>156</v>
      </c>
      <c r="B41" s="9">
        <f>B40/'Vista Ridge Assumptions'!$B$44</f>
        <v>4.1283775862831759E-2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41D7-85B4-4A4B-8FE8-DE93F682C062}">
  <dimension ref="A1:G66"/>
  <sheetViews>
    <sheetView topLeftCell="A5" zoomScale="47" workbookViewId="0">
      <selection activeCell="B64" sqref="B64"/>
    </sheetView>
  </sheetViews>
  <sheetFormatPr defaultRowHeight="46.9" x14ac:dyDescent="1.4"/>
  <cols>
    <col min="1" max="1" width="39" bestFit="1" customWidth="1"/>
    <col min="2" max="2" width="14.40625" bestFit="1" customWidth="1"/>
    <col min="3" max="7" width="12.8125" bestFit="1" customWidth="1"/>
  </cols>
  <sheetData>
    <row r="1" spans="1:2" x14ac:dyDescent="1.4">
      <c r="A1" t="s">
        <v>157</v>
      </c>
    </row>
    <row r="3" spans="1:2" x14ac:dyDescent="1.4">
      <c r="A3" t="s">
        <v>158</v>
      </c>
    </row>
    <row r="5" spans="1:2" x14ac:dyDescent="1.4">
      <c r="A5" t="s">
        <v>159</v>
      </c>
      <c r="B5" s="13">
        <f>'Operating Model'!G28</f>
        <v>2744822.6033453024</v>
      </c>
    </row>
    <row r="6" spans="1:2" x14ac:dyDescent="1.4">
      <c r="A6" t="s">
        <v>49</v>
      </c>
      <c r="B6" s="6">
        <f>'Vista Ridge Assumptions'!$B$57</f>
        <v>5.1499999999999997E-2</v>
      </c>
    </row>
    <row r="7" spans="1:2" x14ac:dyDescent="1.4">
      <c r="A7" t="s">
        <v>160</v>
      </c>
      <c r="B7" s="13">
        <f>B5/B6</f>
        <v>53297526.278549567</v>
      </c>
    </row>
    <row r="8" spans="1:2" x14ac:dyDescent="1.4">
      <c r="A8" t="s">
        <v>161</v>
      </c>
      <c r="B8" s="13">
        <f>-B7*'Vista Ridge Assumptions'!$B$58</f>
        <v>-799462.89417824347</v>
      </c>
    </row>
    <row r="9" spans="1:2" x14ac:dyDescent="1.4">
      <c r="A9" t="s">
        <v>162</v>
      </c>
      <c r="B9" s="13">
        <f>B7+B8</f>
        <v>52498063.384371325</v>
      </c>
    </row>
    <row r="10" spans="1:2" x14ac:dyDescent="1.4">
      <c r="A10" t="s">
        <v>163</v>
      </c>
      <c r="B10" s="13">
        <f>-'S&amp;U + Debt Schedule'!B39</f>
        <v>-21283500.175845135</v>
      </c>
    </row>
    <row r="11" spans="1:2" x14ac:dyDescent="1.4">
      <c r="A11" t="s">
        <v>164</v>
      </c>
      <c r="B11" s="13">
        <f>B9+B10</f>
        <v>31214563.20852619</v>
      </c>
    </row>
    <row r="13" spans="1:2" x14ac:dyDescent="1.4">
      <c r="A13" t="s">
        <v>165</v>
      </c>
      <c r="B13" s="14">
        <f>B7-'Vista Ridge Assumptions'!$B$14</f>
        <v>16297526.278549567</v>
      </c>
    </row>
    <row r="14" spans="1:2" x14ac:dyDescent="1.4">
      <c r="A14" t="s">
        <v>166</v>
      </c>
      <c r="B14" s="12">
        <f>B7/'Vista Ridge Assumptions'!$B$9</f>
        <v>585687.10196208314</v>
      </c>
    </row>
    <row r="15" spans="1:2" x14ac:dyDescent="1.4">
      <c r="A15" t="s">
        <v>167</v>
      </c>
      <c r="B15" s="11">
        <f>'Vista Ridge Assumptions'!$B$15</f>
        <v>406593</v>
      </c>
    </row>
    <row r="17" spans="1:7" x14ac:dyDescent="1.4">
      <c r="A17" t="s">
        <v>168</v>
      </c>
    </row>
    <row r="19" spans="1:7" x14ac:dyDescent="1.4">
      <c r="B19" t="s">
        <v>102</v>
      </c>
      <c r="C19" t="s">
        <v>73</v>
      </c>
      <c r="D19" t="s">
        <v>74</v>
      </c>
      <c r="E19" t="s">
        <v>75</v>
      </c>
      <c r="F19" t="s">
        <v>76</v>
      </c>
      <c r="G19" t="s">
        <v>77</v>
      </c>
    </row>
    <row r="20" spans="1:7" x14ac:dyDescent="1.4">
      <c r="A20" t="s">
        <v>169</v>
      </c>
      <c r="B20" s="13">
        <f>-'S&amp;U + Debt Schedule'!B10</f>
        <v>-39740000</v>
      </c>
      <c r="C20" s="13">
        <f>'S&amp;U + Debt Schedule'!C10</f>
        <v>0</v>
      </c>
      <c r="D20" s="13">
        <f>'S&amp;U + Debt Schedule'!D10</f>
        <v>0</v>
      </c>
      <c r="E20" s="13">
        <f>'S&amp;U + Debt Schedule'!E10</f>
        <v>0</v>
      </c>
      <c r="F20" s="13">
        <f>'S&amp;U + Debt Schedule'!F10</f>
        <v>0</v>
      </c>
      <c r="G20" s="11">
        <v>0</v>
      </c>
    </row>
    <row r="21" spans="1:7" x14ac:dyDescent="1.4">
      <c r="A21" t="s">
        <v>151</v>
      </c>
      <c r="B21" s="13">
        <v>0</v>
      </c>
      <c r="C21" s="13">
        <f>'Operating Model'!C28</f>
        <v>2270198.2050000001</v>
      </c>
      <c r="D21" s="13">
        <f>'Operating Model'!D28</f>
        <v>2438202.6833249992</v>
      </c>
      <c r="E21" s="13">
        <f>'Operating Model'!E28</f>
        <v>2562936.3958871234</v>
      </c>
      <c r="F21" s="13">
        <f>'Operating Model'!F28</f>
        <v>2652233.6854489204</v>
      </c>
      <c r="G21" s="13">
        <f>'Operating Model'!G28</f>
        <v>2744822.6033453024</v>
      </c>
    </row>
    <row r="22" spans="1:7" x14ac:dyDescent="1.4">
      <c r="A22" t="s">
        <v>170</v>
      </c>
      <c r="B22" s="13">
        <v>0</v>
      </c>
      <c r="C22" s="13">
        <f>-'Operating Model'!C32</f>
        <v>-28119</v>
      </c>
      <c r="D22" s="13">
        <f>-'Operating Model'!D32</f>
        <v>-28962.57</v>
      </c>
      <c r="E22" s="13">
        <f>-'Operating Model'!E32</f>
        <v>-29831.447100000001</v>
      </c>
      <c r="F22" s="13">
        <f>-'Operating Model'!F32</f>
        <v>-30726.390513000002</v>
      </c>
      <c r="G22" s="13">
        <f>-'Operating Model'!G32</f>
        <v>-31648.182228390004</v>
      </c>
    </row>
    <row r="23" spans="1:7" x14ac:dyDescent="1.4">
      <c r="A23" t="s">
        <v>171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f>B9</f>
        <v>52498063.384371325</v>
      </c>
    </row>
    <row r="24" spans="1:7" x14ac:dyDescent="1.4">
      <c r="A24" t="s">
        <v>172</v>
      </c>
      <c r="B24" s="14">
        <f>SUM(B20:B23)</f>
        <v>-39740000</v>
      </c>
      <c r="C24" s="14">
        <f t="shared" ref="C24:F24" si="0">SUM(C20:C23)</f>
        <v>2242079.2050000001</v>
      </c>
      <c r="D24" s="14">
        <f t="shared" si="0"/>
        <v>2409240.1133249993</v>
      </c>
      <c r="E24" s="14">
        <f t="shared" si="0"/>
        <v>2533104.9487871234</v>
      </c>
      <c r="F24" s="14">
        <f t="shared" si="0"/>
        <v>2621507.2949359203</v>
      </c>
      <c r="G24" s="14">
        <f>SUM(G20:G23)</f>
        <v>55211237.805488236</v>
      </c>
    </row>
    <row r="26" spans="1:7" x14ac:dyDescent="1.4">
      <c r="A26" t="s">
        <v>173</v>
      </c>
      <c r="B26" s="26">
        <f>IRR(B24:G24)</f>
        <v>0.11356303463757267</v>
      </c>
    </row>
    <row r="27" spans="1:7" x14ac:dyDescent="1.4">
      <c r="A27" t="s">
        <v>174</v>
      </c>
      <c r="B27" s="24">
        <f>SUM(C24:G24)/(-B24)</f>
        <v>1.6360636478997552</v>
      </c>
    </row>
    <row r="28" spans="1:7" x14ac:dyDescent="1.4">
      <c r="A28" t="s">
        <v>175</v>
      </c>
      <c r="B28" s="14">
        <f>SUM(C24:G24)</f>
        <v>65017169.367536277</v>
      </c>
    </row>
    <row r="29" spans="1:7" x14ac:dyDescent="1.4">
      <c r="A29" t="s">
        <v>176</v>
      </c>
      <c r="B29" s="14">
        <f>-B24</f>
        <v>39740000</v>
      </c>
    </row>
    <row r="31" spans="1:7" x14ac:dyDescent="1.4">
      <c r="A31" t="s">
        <v>177</v>
      </c>
    </row>
    <row r="33" spans="1:7" x14ac:dyDescent="1.4">
      <c r="B33" t="s">
        <v>102</v>
      </c>
      <c r="C33" t="s">
        <v>73</v>
      </c>
      <c r="D33" t="s">
        <v>74</v>
      </c>
      <c r="E33" t="s">
        <v>75</v>
      </c>
      <c r="F33" t="s">
        <v>76</v>
      </c>
      <c r="G33" t="s">
        <v>77</v>
      </c>
    </row>
    <row r="34" spans="1:7" x14ac:dyDescent="1.4">
      <c r="A34" t="s">
        <v>178</v>
      </c>
      <c r="B34" s="13">
        <f>-'S&amp;U + Debt Schedule'!B14</f>
        <v>-17540000</v>
      </c>
      <c r="C34" s="13">
        <f>-'S&amp;U + Debt Schedule'!C14</f>
        <v>0</v>
      </c>
      <c r="D34" s="13">
        <f>-'S&amp;U + Debt Schedule'!D14</f>
        <v>0</v>
      </c>
      <c r="E34" s="13">
        <f>-'S&amp;U + Debt Schedule'!E14</f>
        <v>0</v>
      </c>
      <c r="F34" s="13">
        <f>-'S&amp;U + Debt Schedule'!F14</f>
        <v>0</v>
      </c>
      <c r="G34" s="13">
        <f>-'S&amp;U + Debt Schedule'!G14</f>
        <v>0</v>
      </c>
    </row>
    <row r="35" spans="1:7" x14ac:dyDescent="1.4">
      <c r="A35" t="s">
        <v>151</v>
      </c>
      <c r="B35" s="13">
        <v>0</v>
      </c>
      <c r="C35" s="13">
        <f>'Operating Model'!C28</f>
        <v>2270198.2050000001</v>
      </c>
      <c r="D35" s="13">
        <f>'Operating Model'!D28</f>
        <v>2438202.6833249992</v>
      </c>
      <c r="E35" s="13">
        <f>'Operating Model'!E28</f>
        <v>2562936.3958871234</v>
      </c>
      <c r="F35" s="13">
        <f>'Operating Model'!F28</f>
        <v>2652233.6854489204</v>
      </c>
      <c r="G35" s="13">
        <f>'Operating Model'!G28</f>
        <v>2744822.6033453024</v>
      </c>
    </row>
    <row r="36" spans="1:7" x14ac:dyDescent="1.4">
      <c r="A36" t="s">
        <v>170</v>
      </c>
      <c r="B36" s="13">
        <v>0</v>
      </c>
      <c r="C36" s="13">
        <f>-'Operating Model'!C32</f>
        <v>-28119</v>
      </c>
      <c r="D36" s="13">
        <f>-'Operating Model'!D32</f>
        <v>-28962.57</v>
      </c>
      <c r="E36" s="13">
        <f>-'Operating Model'!E32</f>
        <v>-29831.447100000001</v>
      </c>
      <c r="F36" s="13">
        <f>-'Operating Model'!F32</f>
        <v>-30726.390513000002</v>
      </c>
      <c r="G36" s="13">
        <f>-'Operating Model'!G32</f>
        <v>-31648.182228390004</v>
      </c>
    </row>
    <row r="37" spans="1:7" x14ac:dyDescent="1.4">
      <c r="A37" t="s">
        <v>179</v>
      </c>
      <c r="B37" s="13">
        <v>0</v>
      </c>
      <c r="C37" s="13">
        <f>-'S&amp;U + Debt Schedule'!C31</f>
        <v>-1298700</v>
      </c>
      <c r="D37" s="13">
        <f>-'S&amp;U + Debt Schedule'!D31</f>
        <v>-1298700</v>
      </c>
      <c r="E37" s="13">
        <f>-'S&amp;U + Debt Schedule'!E31</f>
        <v>-1587005.2028576243</v>
      </c>
      <c r="F37" s="13">
        <f>-'S&amp;U + Debt Schedule'!F31</f>
        <v>-1587005.2028576243</v>
      </c>
      <c r="G37" s="13">
        <f>-'S&amp;U + Debt Schedule'!G31</f>
        <v>-1587005.2028576243</v>
      </c>
    </row>
    <row r="38" spans="1:7" x14ac:dyDescent="1.4">
      <c r="A38" t="s">
        <v>180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4">
        <f>B11</f>
        <v>31214563.20852619</v>
      </c>
    </row>
    <row r="39" spans="1:7" x14ac:dyDescent="1.4">
      <c r="A39" t="s">
        <v>181</v>
      </c>
      <c r="B39" s="14">
        <f>SUM(B34:B38)</f>
        <v>-17540000</v>
      </c>
      <c r="C39" s="14">
        <f t="shared" ref="C39:G39" si="1">SUM(C34:C38)</f>
        <v>943379.20500000007</v>
      </c>
      <c r="D39" s="14">
        <f t="shared" si="1"/>
        <v>1110540.1133249993</v>
      </c>
      <c r="E39" s="14">
        <f t="shared" si="1"/>
        <v>946099.74592949916</v>
      </c>
      <c r="F39" s="14">
        <f t="shared" si="1"/>
        <v>1034502.092078296</v>
      </c>
      <c r="G39" s="14">
        <f t="shared" si="1"/>
        <v>32340732.426785477</v>
      </c>
    </row>
    <row r="41" spans="1:7" x14ac:dyDescent="1.4">
      <c r="A41" t="s">
        <v>182</v>
      </c>
      <c r="B41" s="26">
        <f>IRR(B39:G39)</f>
        <v>0.16958183859930909</v>
      </c>
    </row>
    <row r="42" spans="1:7" x14ac:dyDescent="1.4">
      <c r="A42" t="s">
        <v>183</v>
      </c>
      <c r="B42" s="4">
        <f>SUM(C39:G39)/(-B39)</f>
        <v>2.0738457002918058</v>
      </c>
    </row>
    <row r="43" spans="1:7" x14ac:dyDescent="1.4">
      <c r="A43" t="s">
        <v>175</v>
      </c>
      <c r="B43" s="14">
        <f>SUM(C39:G39)</f>
        <v>36375253.583118275</v>
      </c>
    </row>
    <row r="44" spans="1:7" x14ac:dyDescent="1.4">
      <c r="A44" t="s">
        <v>184</v>
      </c>
      <c r="B44" s="14">
        <f>-B39</f>
        <v>17540000</v>
      </c>
    </row>
    <row r="46" spans="1:7" x14ac:dyDescent="1.4">
      <c r="A46" t="s">
        <v>185</v>
      </c>
    </row>
    <row r="47" spans="1:7" x14ac:dyDescent="1.4">
      <c r="C47" t="s">
        <v>73</v>
      </c>
      <c r="D47" t="s">
        <v>74</v>
      </c>
      <c r="E47" t="s">
        <v>75</v>
      </c>
      <c r="F47" t="s">
        <v>76</v>
      </c>
      <c r="G47" t="s">
        <v>77</v>
      </c>
    </row>
    <row r="49" spans="1:7" x14ac:dyDescent="1.4">
      <c r="A49" t="s">
        <v>186</v>
      </c>
      <c r="C49" s="14">
        <f>C35+C36+C37</f>
        <v>943379.20500000007</v>
      </c>
      <c r="D49" s="14">
        <f t="shared" ref="D49:G49" si="2">D35+D36+D37</f>
        <v>1110540.1133249993</v>
      </c>
      <c r="E49" s="14">
        <f t="shared" si="2"/>
        <v>946099.74592949916</v>
      </c>
      <c r="F49" s="14">
        <f t="shared" si="2"/>
        <v>1034502.092078296</v>
      </c>
      <c r="G49" s="14">
        <f t="shared" si="2"/>
        <v>1126169.218259288</v>
      </c>
    </row>
    <row r="50" spans="1:7" x14ac:dyDescent="1.4">
      <c r="A50" t="s">
        <v>178</v>
      </c>
      <c r="C50" s="13">
        <f>'S&amp;U + Debt Schedule'!$B$14</f>
        <v>17540000</v>
      </c>
      <c r="D50" s="13">
        <f>'S&amp;U + Debt Schedule'!$B$14</f>
        <v>17540000</v>
      </c>
      <c r="E50" s="13">
        <f>'S&amp;U + Debt Schedule'!$B$14</f>
        <v>17540000</v>
      </c>
      <c r="F50" s="13">
        <f>'S&amp;U + Debt Schedule'!$B$14</f>
        <v>17540000</v>
      </c>
      <c r="G50" s="13">
        <f>'S&amp;U + Debt Schedule'!$B$14</f>
        <v>17540000</v>
      </c>
    </row>
    <row r="51" spans="1:7" x14ac:dyDescent="1.4">
      <c r="A51" t="s">
        <v>187</v>
      </c>
      <c r="C51" s="9">
        <f>C49/C50</f>
        <v>5.3784447263397948E-2</v>
      </c>
      <c r="D51" s="9">
        <f t="shared" ref="D51:G51" si="3">D49/D50</f>
        <v>6.3314715696978302E-2</v>
      </c>
      <c r="E51" s="9">
        <f t="shared" si="3"/>
        <v>5.3939552219469736E-2</v>
      </c>
      <c r="F51" s="9">
        <f t="shared" si="3"/>
        <v>5.8979594759309924E-2</v>
      </c>
      <c r="G51" s="9">
        <f t="shared" si="3"/>
        <v>6.4205770710335688E-2</v>
      </c>
    </row>
    <row r="52" spans="1:7" x14ac:dyDescent="1.4">
      <c r="A52" t="s">
        <v>188</v>
      </c>
      <c r="B52" s="25">
        <f>AVERAGE(C51:G51)</f>
        <v>5.8844816129898316E-2</v>
      </c>
    </row>
    <row r="53" spans="1:7" x14ac:dyDescent="1.4">
      <c r="A53" t="s">
        <v>189</v>
      </c>
    </row>
    <row r="55" spans="1:7" x14ac:dyDescent="1.4">
      <c r="A55" t="s">
        <v>13</v>
      </c>
      <c r="B55" s="11">
        <f>'Vista Ridge Assumptions'!B14</f>
        <v>37000000</v>
      </c>
    </row>
    <row r="56" spans="1:7" x14ac:dyDescent="1.4">
      <c r="A56" t="s">
        <v>190</v>
      </c>
      <c r="B56" s="14">
        <f>B7</f>
        <v>53297526.278549567</v>
      </c>
    </row>
    <row r="57" spans="1:7" x14ac:dyDescent="1.4">
      <c r="A57" t="s">
        <v>48</v>
      </c>
      <c r="B57">
        <f>'Vista Ridge Assumptions'!B56</f>
        <v>5</v>
      </c>
    </row>
    <row r="58" spans="1:7" x14ac:dyDescent="1.4">
      <c r="A58" t="s">
        <v>191</v>
      </c>
      <c r="B58" s="8">
        <f>C35/B55</f>
        <v>6.1356708243243248E-2</v>
      </c>
    </row>
    <row r="59" spans="1:7" x14ac:dyDescent="1.4">
      <c r="A59" t="s">
        <v>49</v>
      </c>
      <c r="B59" s="8">
        <f>'Vista Ridge Assumptions'!B57</f>
        <v>5.1499999999999997E-2</v>
      </c>
    </row>
    <row r="60" spans="1:7" x14ac:dyDescent="1.4">
      <c r="A60" t="s">
        <v>173</v>
      </c>
      <c r="B60" s="26">
        <f>B26</f>
        <v>0.11356303463757267</v>
      </c>
    </row>
    <row r="61" spans="1:7" x14ac:dyDescent="1.4">
      <c r="A61" t="s">
        <v>174</v>
      </c>
      <c r="B61" s="24">
        <f>B27</f>
        <v>1.6360636478997552</v>
      </c>
    </row>
    <row r="62" spans="1:7" x14ac:dyDescent="1.4">
      <c r="A62" t="s">
        <v>182</v>
      </c>
      <c r="B62" s="26">
        <f>B41</f>
        <v>0.16958183859930909</v>
      </c>
    </row>
    <row r="63" spans="1:7" x14ac:dyDescent="1.4">
      <c r="A63" t="s">
        <v>183</v>
      </c>
      <c r="B63" s="24">
        <f>B42</f>
        <v>2.0738457002918058</v>
      </c>
    </row>
    <row r="64" spans="1:7" x14ac:dyDescent="1.4">
      <c r="A64" t="s">
        <v>192</v>
      </c>
      <c r="B64" s="25">
        <f>B52</f>
        <v>5.8844816129898316E-2</v>
      </c>
    </row>
    <row r="65" spans="1:2" x14ac:dyDescent="1.4">
      <c r="A65" t="s">
        <v>184</v>
      </c>
      <c r="B65" s="14">
        <f>B44</f>
        <v>17540000</v>
      </c>
    </row>
    <row r="66" spans="1:2" x14ac:dyDescent="1.4">
      <c r="A66" t="s">
        <v>193</v>
      </c>
      <c r="B66" s="14">
        <f>B43</f>
        <v>36375253.583118275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F576-573A-460A-A0CB-2F0DBFCCF811}">
  <dimension ref="A1:B54"/>
  <sheetViews>
    <sheetView tabSelected="1" topLeftCell="A22" zoomScale="32" workbookViewId="0">
      <selection activeCell="A56" sqref="A56"/>
    </sheetView>
  </sheetViews>
  <sheetFormatPr defaultRowHeight="46.9" x14ac:dyDescent="1.4"/>
  <cols>
    <col min="1" max="1" width="42.52734375" bestFit="1" customWidth="1"/>
    <col min="2" max="2" width="41.8359375" bestFit="1" customWidth="1"/>
  </cols>
  <sheetData>
    <row r="1" spans="1:2" x14ac:dyDescent="1.4">
      <c r="A1" t="s">
        <v>194</v>
      </c>
    </row>
    <row r="3" spans="1:2" x14ac:dyDescent="1.4">
      <c r="A3" t="s">
        <v>1</v>
      </c>
    </row>
    <row r="4" spans="1:2" x14ac:dyDescent="1.4">
      <c r="A4" t="s">
        <v>4</v>
      </c>
      <c r="B4" t="str">
        <f>'Vista Ridge Assumptions'!B6</f>
        <v>Vista Ridge Apartments</v>
      </c>
    </row>
    <row r="5" spans="1:2" x14ac:dyDescent="1.4">
      <c r="A5" t="s">
        <v>5</v>
      </c>
      <c r="B5" t="str">
        <f>'Vista Ridge Assumptions'!B7</f>
        <v>201 Mt Park Blvd SW, Issaquah, WA 98027</v>
      </c>
    </row>
    <row r="6" spans="1:2" x14ac:dyDescent="1.4">
      <c r="A6" t="s">
        <v>195</v>
      </c>
      <c r="B6" t="s">
        <v>197</v>
      </c>
    </row>
    <row r="7" spans="1:2" x14ac:dyDescent="1.4">
      <c r="A7" t="s">
        <v>196</v>
      </c>
      <c r="B7" t="s">
        <v>198</v>
      </c>
    </row>
    <row r="8" spans="1:2" x14ac:dyDescent="1.4">
      <c r="A8" t="s">
        <v>6</v>
      </c>
      <c r="B8">
        <f>'Vista Ridge Assumptions'!B8</f>
        <v>1994</v>
      </c>
    </row>
    <row r="9" spans="1:2" x14ac:dyDescent="1.4">
      <c r="A9" t="s">
        <v>7</v>
      </c>
      <c r="B9">
        <f>'Vista Ridge Assumptions'!B9</f>
        <v>91</v>
      </c>
    </row>
    <row r="10" spans="1:2" x14ac:dyDescent="1.4">
      <c r="A10" t="s">
        <v>8</v>
      </c>
      <c r="B10" s="3">
        <f>'Vista Ridge Assumptions'!B10</f>
        <v>100646</v>
      </c>
    </row>
    <row r="12" spans="1:2" x14ac:dyDescent="1.4">
      <c r="A12" t="s">
        <v>199</v>
      </c>
    </row>
    <row r="13" spans="1:2" x14ac:dyDescent="1.4">
      <c r="A13" t="s">
        <v>13</v>
      </c>
      <c r="B13" s="13">
        <f>'Vista Ridge Assumptions'!B14</f>
        <v>37000000</v>
      </c>
    </row>
    <row r="14" spans="1:2" x14ac:dyDescent="1.4">
      <c r="A14" t="s">
        <v>14</v>
      </c>
      <c r="B14" s="13">
        <f>'Vista Ridge Assumptions'!B15</f>
        <v>406593</v>
      </c>
    </row>
    <row r="15" spans="1:2" x14ac:dyDescent="1.4">
      <c r="A15" t="s">
        <v>191</v>
      </c>
      <c r="B15" s="9">
        <f>'Operating Model'!B28/'Vista Ridge Assumptions'!B14</f>
        <v>5.8353810810810813E-2</v>
      </c>
    </row>
    <row r="16" spans="1:2" x14ac:dyDescent="1.4">
      <c r="A16" t="s">
        <v>200</v>
      </c>
      <c r="B16" t="s">
        <v>205</v>
      </c>
    </row>
    <row r="18" spans="1:2" x14ac:dyDescent="1.4">
      <c r="A18" t="s">
        <v>201</v>
      </c>
    </row>
    <row r="19" spans="1:2" x14ac:dyDescent="1.4">
      <c r="A19" t="s">
        <v>202</v>
      </c>
      <c r="B19" t="s">
        <v>206</v>
      </c>
    </row>
    <row r="20" spans="1:2" x14ac:dyDescent="1.4">
      <c r="A20" t="s">
        <v>48</v>
      </c>
      <c r="B20">
        <f>'Vista Ridge Assumptions'!B56</f>
        <v>5</v>
      </c>
    </row>
    <row r="21" spans="1:2" x14ac:dyDescent="1.4">
      <c r="A21" t="s">
        <v>30</v>
      </c>
      <c r="B21">
        <f>'Vista Ridge Rent Roll &amp; Renovat'!B26</f>
        <v>55</v>
      </c>
    </row>
    <row r="22" spans="1:2" x14ac:dyDescent="1.4">
      <c r="A22" t="s">
        <v>203</v>
      </c>
      <c r="B22" s="14">
        <f>'Vista Ridge Rent Roll &amp; Renovat'!E22/'Vista Ridge Rent Roll &amp; Renovat'!B26</f>
        <v>20000</v>
      </c>
    </row>
    <row r="23" spans="1:2" x14ac:dyDescent="1.4">
      <c r="A23" t="s">
        <v>204</v>
      </c>
      <c r="B23" s="13">
        <f>'Vista Ridge Assumptions'!B40</f>
        <v>275</v>
      </c>
    </row>
    <row r="25" spans="1:2" x14ac:dyDescent="1.4">
      <c r="A25" t="s">
        <v>207</v>
      </c>
    </row>
    <row r="26" spans="1:2" x14ac:dyDescent="1.4">
      <c r="A26" t="s">
        <v>173</v>
      </c>
      <c r="B26" s="26">
        <f>Returns!B60</f>
        <v>0.11356303463757267</v>
      </c>
    </row>
    <row r="27" spans="1:2" x14ac:dyDescent="1.4">
      <c r="A27" t="s">
        <v>182</v>
      </c>
      <c r="B27" s="26">
        <f>Returns!B62</f>
        <v>0.16958183859930909</v>
      </c>
    </row>
    <row r="28" spans="1:2" x14ac:dyDescent="1.4">
      <c r="A28" t="s">
        <v>174</v>
      </c>
      <c r="B28" s="24">
        <f>Returns!B61</f>
        <v>1.6360636478997552</v>
      </c>
    </row>
    <row r="29" spans="1:2" x14ac:dyDescent="1.4">
      <c r="A29" t="s">
        <v>183</v>
      </c>
      <c r="B29" s="24">
        <f>Returns!B63</f>
        <v>2.0738457002918058</v>
      </c>
    </row>
    <row r="30" spans="1:2" x14ac:dyDescent="1.4">
      <c r="A30" t="s">
        <v>192</v>
      </c>
      <c r="B30" s="9">
        <f>Returns!B64</f>
        <v>5.8844816129898316E-2</v>
      </c>
    </row>
    <row r="32" spans="1:2" x14ac:dyDescent="1.4">
      <c r="A32" t="s">
        <v>208</v>
      </c>
    </row>
    <row r="33" spans="1:2" x14ac:dyDescent="1.4">
      <c r="A33" t="s">
        <v>209</v>
      </c>
      <c r="B33" s="13">
        <f>'Vista Ridge Assumptions'!B44</f>
        <v>22200000</v>
      </c>
    </row>
    <row r="34" spans="1:2" x14ac:dyDescent="1.4">
      <c r="A34" t="s">
        <v>210</v>
      </c>
      <c r="B34" s="13">
        <f>'S&amp;U + Debt Schedule'!B14</f>
        <v>17540000</v>
      </c>
    </row>
    <row r="35" spans="1:2" x14ac:dyDescent="1.4">
      <c r="A35" t="s">
        <v>211</v>
      </c>
      <c r="B35" s="12">
        <f>B33+B34</f>
        <v>39740000</v>
      </c>
    </row>
    <row r="36" spans="1:2" x14ac:dyDescent="1.4">
      <c r="A36" t="s">
        <v>212</v>
      </c>
      <c r="B36" s="8">
        <f>B33/'Vista Ridge Assumptions'!B14</f>
        <v>0.6</v>
      </c>
    </row>
    <row r="37" spans="1:2" x14ac:dyDescent="1.4">
      <c r="A37" t="s">
        <v>140</v>
      </c>
      <c r="B37" s="8">
        <f>'S&amp;U + Debt Schedule'!B19</f>
        <v>0.55863110216406642</v>
      </c>
    </row>
    <row r="38" spans="1:2" x14ac:dyDescent="1.4">
      <c r="A38" t="s">
        <v>213</v>
      </c>
      <c r="B38" s="6">
        <f>'Vista Ridge Assumptions'!B45</f>
        <v>5.8500000000000003E-2</v>
      </c>
    </row>
    <row r="40" spans="1:2" x14ac:dyDescent="1.4">
      <c r="A40" t="s">
        <v>214</v>
      </c>
    </row>
    <row r="41" spans="1:2" x14ac:dyDescent="1.4">
      <c r="A41" t="s">
        <v>215</v>
      </c>
      <c r="B41" s="13">
        <f>'Operating Model'!G28</f>
        <v>2744822.6033453024</v>
      </c>
    </row>
    <row r="42" spans="1:2" x14ac:dyDescent="1.4">
      <c r="A42" t="s">
        <v>49</v>
      </c>
      <c r="B42" s="6">
        <f>Returns!B59</f>
        <v>5.1499999999999997E-2</v>
      </c>
    </row>
    <row r="43" spans="1:2" x14ac:dyDescent="1.4">
      <c r="A43" t="s">
        <v>216</v>
      </c>
      <c r="B43" s="13">
        <f>Returns!B56</f>
        <v>53297526.278549567</v>
      </c>
    </row>
    <row r="44" spans="1:2" x14ac:dyDescent="1.4">
      <c r="A44" t="s">
        <v>166</v>
      </c>
      <c r="B44" s="12">
        <f>Returns!B14</f>
        <v>585687.10196208314</v>
      </c>
    </row>
    <row r="45" spans="1:2" x14ac:dyDescent="1.4">
      <c r="A45" t="s">
        <v>217</v>
      </c>
      <c r="B45" s="13">
        <f>Returns!B13</f>
        <v>16297526.278549567</v>
      </c>
    </row>
    <row r="47" spans="1:2" x14ac:dyDescent="1.4">
      <c r="A47" t="s">
        <v>218</v>
      </c>
    </row>
    <row r="48" spans="1:2" x14ac:dyDescent="1.4">
      <c r="A48" t="s">
        <v>219</v>
      </c>
      <c r="B48" t="s">
        <v>226</v>
      </c>
    </row>
    <row r="49" spans="1:2" x14ac:dyDescent="1.4">
      <c r="A49" t="s">
        <v>220</v>
      </c>
      <c r="B49" t="s">
        <v>227</v>
      </c>
    </row>
    <row r="50" spans="1:2" x14ac:dyDescent="1.4">
      <c r="A50" t="s">
        <v>221</v>
      </c>
      <c r="B50" t="s">
        <v>228</v>
      </c>
    </row>
    <row r="51" spans="1:2" x14ac:dyDescent="1.4">
      <c r="A51" t="s">
        <v>222</v>
      </c>
      <c r="B51" t="s">
        <v>229</v>
      </c>
    </row>
    <row r="52" spans="1:2" x14ac:dyDescent="1.4">
      <c r="A52" t="s">
        <v>223</v>
      </c>
      <c r="B52" t="s">
        <v>230</v>
      </c>
    </row>
    <row r="53" spans="1:2" x14ac:dyDescent="1.4">
      <c r="A53" t="s">
        <v>224</v>
      </c>
      <c r="B53" t="s">
        <v>231</v>
      </c>
    </row>
    <row r="54" spans="1:2" x14ac:dyDescent="1.4">
      <c r="A54" t="s">
        <v>225</v>
      </c>
      <c r="B54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Vista Ridge Assumptions</vt:lpstr>
      <vt:lpstr>Vista Ridge Rent Roll &amp; Renovat</vt:lpstr>
      <vt:lpstr>Operating Model</vt:lpstr>
      <vt:lpstr>S&amp;U + Debt Schedule</vt:lpstr>
      <vt:lpstr>Returns</vt:lpstr>
      <vt:lpstr>Investment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Niky Witt</dc:creator>
  <cp:lastModifiedBy>Niky Witt</cp:lastModifiedBy>
  <dcterms:created xsi:type="dcterms:W3CDTF">2026-09-28T23:53:42Z</dcterms:created>
  <dcterms:modified xsi:type="dcterms:W3CDTF">2026-10-19T23:27:31Z</dcterms:modified>
</cp:coreProperties>
</file>