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4be5b9a86eb7a54/CRE/Online Portfolio/real models/"/>
    </mc:Choice>
  </mc:AlternateContent>
  <xr:revisionPtr revIDLastSave="297" documentId="8_{F81F74FB-2616-44B7-8FE7-1E6F16C5546F}" xr6:coauthVersionLast="47" xr6:coauthVersionMax="47" xr10:uidLastSave="{8013D3D0-6885-4869-96C8-D188D7A6E4AD}"/>
  <bookViews>
    <workbookView xWindow="-98" yWindow="-98" windowWidth="21795" windowHeight="13875" firstSheet="5" activeTab="5" xr2:uid="{AC390711-6281-458A-9C53-6A5B60D2742A}"/>
  </bookViews>
  <sheets>
    <sheet name="Assumptions" sheetId="1" r:id="rId1"/>
    <sheet name="Operating Model" sheetId="2" r:id="rId2"/>
    <sheet name="Sources &amp; Uses + Debt Schedule" sheetId="3" r:id="rId3"/>
    <sheet name="Returns" sheetId="5" r:id="rId4"/>
    <sheet name="RETURNS BRIDGE" sheetId="6" r:id="rId5"/>
    <sheet name="Investment Summary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0" i="7" l="1"/>
  <c r="B48" i="7"/>
  <c r="B49" i="7"/>
  <c r="B47" i="7"/>
  <c r="B44" i="7"/>
  <c r="B43" i="7"/>
  <c r="B42" i="7"/>
  <c r="B41" i="7"/>
  <c r="B40" i="7"/>
  <c r="B39" i="7"/>
  <c r="B36" i="7"/>
  <c r="B35" i="7"/>
  <c r="B34" i="7"/>
  <c r="B33" i="7"/>
  <c r="B27" i="7"/>
  <c r="B28" i="7" s="1"/>
  <c r="B26" i="7"/>
  <c r="B29" i="7"/>
  <c r="B30" i="7"/>
  <c r="B22" i="7"/>
  <c r="B14" i="7"/>
  <c r="B15" i="7"/>
  <c r="B16" i="7"/>
  <c r="B17" i="7"/>
  <c r="B18" i="7"/>
  <c r="B13" i="7"/>
  <c r="B8" i="7"/>
  <c r="B9" i="7"/>
  <c r="B10" i="7"/>
  <c r="B6" i="7"/>
  <c r="B7" i="7"/>
  <c r="B5" i="7"/>
  <c r="B4" i="7"/>
  <c r="B35" i="6"/>
  <c r="B34" i="6"/>
  <c r="B33" i="6"/>
  <c r="B32" i="6"/>
  <c r="B30" i="6"/>
  <c r="B27" i="6"/>
  <c r="B26" i="6"/>
  <c r="B25" i="6"/>
  <c r="B24" i="6"/>
  <c r="B23" i="6"/>
  <c r="B22" i="6"/>
  <c r="B21" i="6"/>
  <c r="B17" i="6"/>
  <c r="B16" i="6"/>
  <c r="B15" i="6"/>
  <c r="B14" i="6"/>
  <c r="B13" i="6"/>
  <c r="B12" i="6"/>
  <c r="B11" i="6"/>
  <c r="B8" i="6"/>
  <c r="B7" i="6"/>
  <c r="B6" i="6"/>
  <c r="B5" i="6"/>
  <c r="B4" i="6"/>
  <c r="B45" i="5"/>
  <c r="B44" i="5"/>
  <c r="B43" i="5"/>
  <c r="B42" i="5"/>
  <c r="C40" i="5"/>
  <c r="D40" i="5"/>
  <c r="E40" i="5"/>
  <c r="F40" i="5"/>
  <c r="G40" i="5"/>
  <c r="H40" i="5"/>
  <c r="B40" i="5"/>
  <c r="H39" i="5"/>
  <c r="D38" i="5"/>
  <c r="E38" i="5"/>
  <c r="F38" i="5"/>
  <c r="G38" i="5"/>
  <c r="H38" i="5"/>
  <c r="C38" i="5"/>
  <c r="D37" i="5"/>
  <c r="E37" i="5"/>
  <c r="F37" i="5"/>
  <c r="G37" i="5"/>
  <c r="H37" i="5"/>
  <c r="C37" i="5"/>
  <c r="D36" i="5"/>
  <c r="E36" i="5"/>
  <c r="F36" i="5"/>
  <c r="G36" i="5"/>
  <c r="H36" i="5"/>
  <c r="C36" i="5"/>
  <c r="D35" i="5"/>
  <c r="E35" i="5"/>
  <c r="F35" i="5"/>
  <c r="G35" i="5"/>
  <c r="H35" i="5"/>
  <c r="C35" i="5"/>
  <c r="B33" i="5"/>
  <c r="D34" i="5"/>
  <c r="E34" i="5"/>
  <c r="F34" i="5"/>
  <c r="G34" i="5"/>
  <c r="H34" i="5"/>
  <c r="C34" i="5"/>
  <c r="B28" i="5"/>
  <c r="B27" i="5"/>
  <c r="B26" i="5"/>
  <c r="B25" i="5"/>
  <c r="C23" i="5"/>
  <c r="D23" i="5"/>
  <c r="E23" i="5"/>
  <c r="F23" i="5"/>
  <c r="G23" i="5"/>
  <c r="H23" i="5"/>
  <c r="B23" i="5"/>
  <c r="H22" i="5"/>
  <c r="D21" i="5"/>
  <c r="E21" i="5"/>
  <c r="F21" i="5"/>
  <c r="G21" i="5"/>
  <c r="H21" i="5"/>
  <c r="C21" i="5"/>
  <c r="B20" i="5"/>
  <c r="B14" i="5"/>
  <c r="B13" i="5"/>
  <c r="B11" i="5"/>
  <c r="B10" i="5"/>
  <c r="B9" i="5"/>
  <c r="B8" i="5"/>
  <c r="B7" i="5"/>
  <c r="B6" i="5"/>
  <c r="B5" i="5"/>
  <c r="B44" i="3"/>
  <c r="B43" i="3"/>
  <c r="B42" i="3"/>
  <c r="D39" i="3"/>
  <c r="E39" i="3"/>
  <c r="F39" i="3"/>
  <c r="G39" i="3"/>
  <c r="H39" i="3"/>
  <c r="C39" i="3"/>
  <c r="D38" i="3"/>
  <c r="E38" i="3"/>
  <c r="F38" i="3"/>
  <c r="G38" i="3"/>
  <c r="H38" i="3"/>
  <c r="C38" i="3"/>
  <c r="D37" i="3"/>
  <c r="E37" i="3"/>
  <c r="F37" i="3"/>
  <c r="G37" i="3"/>
  <c r="H37" i="3"/>
  <c r="C37" i="3"/>
  <c r="D36" i="3"/>
  <c r="E36" i="3"/>
  <c r="F36" i="3"/>
  <c r="G36" i="3"/>
  <c r="H36" i="3"/>
  <c r="C36" i="3"/>
  <c r="D35" i="3"/>
  <c r="E35" i="3"/>
  <c r="F35" i="3"/>
  <c r="G35" i="3"/>
  <c r="H35" i="3"/>
  <c r="C35" i="3"/>
  <c r="D32" i="3"/>
  <c r="E32" i="3"/>
  <c r="F32" i="3"/>
  <c r="G32" i="3"/>
  <c r="H32" i="3"/>
  <c r="C32" i="3"/>
  <c r="B32" i="3"/>
  <c r="D31" i="3"/>
  <c r="E31" i="3"/>
  <c r="F31" i="3"/>
  <c r="G31" i="3"/>
  <c r="H31" i="3"/>
  <c r="C31" i="3"/>
  <c r="H25" i="3"/>
  <c r="H29" i="3" s="1"/>
  <c r="G25" i="3"/>
  <c r="G29" i="3" s="1"/>
  <c r="F25" i="3"/>
  <c r="E29" i="3"/>
  <c r="E25" i="3"/>
  <c r="E26" i="3" s="1"/>
  <c r="E28" i="3" s="1"/>
  <c r="D29" i="3"/>
  <c r="D25" i="3"/>
  <c r="D26" i="3" s="1"/>
  <c r="D28" i="3" s="1"/>
  <c r="C29" i="3"/>
  <c r="G28" i="3"/>
  <c r="H28" i="3"/>
  <c r="C28" i="3"/>
  <c r="D27" i="3"/>
  <c r="E27" i="3"/>
  <c r="F27" i="3"/>
  <c r="G27" i="3"/>
  <c r="H27" i="3"/>
  <c r="C27" i="3"/>
  <c r="F26" i="3"/>
  <c r="F28" i="3" s="1"/>
  <c r="G26" i="3"/>
  <c r="H26" i="3"/>
  <c r="C26" i="3"/>
  <c r="C25" i="3"/>
  <c r="B48" i="1"/>
  <c r="B20" i="3"/>
  <c r="B18" i="3"/>
  <c r="B19" i="3"/>
  <c r="B17" i="3"/>
  <c r="B14" i="3"/>
  <c r="B13" i="3"/>
  <c r="B12" i="3"/>
  <c r="B11" i="3"/>
  <c r="B8" i="3"/>
  <c r="B7" i="3"/>
  <c r="B6" i="3"/>
  <c r="C31" i="2"/>
  <c r="D31" i="2"/>
  <c r="E31" i="2"/>
  <c r="F31" i="2"/>
  <c r="G31" i="2"/>
  <c r="H31" i="2"/>
  <c r="B31" i="2"/>
  <c r="C30" i="2"/>
  <c r="D30" i="2"/>
  <c r="E30" i="2"/>
  <c r="F30" i="2"/>
  <c r="G30" i="2"/>
  <c r="H30" i="2"/>
  <c r="B30" i="2"/>
  <c r="D29" i="2"/>
  <c r="E29" i="2"/>
  <c r="F29" i="2"/>
  <c r="G29" i="2"/>
  <c r="H29" i="2"/>
  <c r="B29" i="2"/>
  <c r="C29" i="2" s="1"/>
  <c r="B12" i="2"/>
  <c r="C12" i="2" s="1"/>
  <c r="D12" i="2" s="1"/>
  <c r="E12" i="2" s="1"/>
  <c r="F12" i="2" s="1"/>
  <c r="G12" i="2" s="1"/>
  <c r="H12" i="2" s="1"/>
  <c r="B8" i="2"/>
  <c r="B17" i="2" s="1"/>
  <c r="B41" i="1"/>
  <c r="B40" i="1"/>
  <c r="B39" i="1"/>
  <c r="B29" i="1"/>
  <c r="B28" i="1"/>
  <c r="B27" i="1"/>
  <c r="B23" i="1"/>
  <c r="B22" i="1"/>
  <c r="B17" i="1"/>
  <c r="F29" i="3" l="1"/>
  <c r="B19" i="2"/>
  <c r="B24" i="2" s="1"/>
  <c r="C8" i="2"/>
  <c r="B18" i="2"/>
  <c r="B13" i="2"/>
  <c r="B23" i="2" s="1"/>
  <c r="B26" i="2" l="1"/>
  <c r="C18" i="2"/>
  <c r="C25" i="2"/>
  <c r="C13" i="2"/>
  <c r="C17" i="2"/>
  <c r="C9" i="2"/>
  <c r="D8" i="2"/>
  <c r="D18" i="2" l="1"/>
  <c r="D25" i="2"/>
  <c r="D17" i="2"/>
  <c r="D13" i="2"/>
  <c r="D9" i="2"/>
  <c r="E8" i="2"/>
  <c r="C14" i="2"/>
  <c r="C23" i="2"/>
  <c r="C26" i="2" s="1"/>
  <c r="C19" i="2"/>
  <c r="C24" i="2" s="1"/>
  <c r="D14" i="2" l="1"/>
  <c r="D23" i="2"/>
  <c r="D26" i="2" s="1"/>
  <c r="E18" i="2"/>
  <c r="E25" i="2"/>
  <c r="E17" i="2"/>
  <c r="E19" i="2" s="1"/>
  <c r="E24" i="2" s="1"/>
  <c r="E13" i="2"/>
  <c r="F8" i="2"/>
  <c r="E9" i="2"/>
  <c r="D19" i="2"/>
  <c r="D24" i="2" s="1"/>
  <c r="G8" i="2" l="1"/>
  <c r="F9" i="2"/>
  <c r="F25" i="2"/>
  <c r="F17" i="2"/>
  <c r="F13" i="2"/>
  <c r="F18" i="2"/>
  <c r="E23" i="2"/>
  <c r="E26" i="2" s="1"/>
  <c r="E14" i="2"/>
  <c r="F23" i="2" l="1"/>
  <c r="F14" i="2"/>
  <c r="F19" i="2"/>
  <c r="F24" i="2" s="1"/>
  <c r="H8" i="2"/>
  <c r="G25" i="2"/>
  <c r="G13" i="2"/>
  <c r="G9" i="2"/>
  <c r="G17" i="2"/>
  <c r="G19" i="2" s="1"/>
  <c r="G24" i="2" s="1"/>
  <c r="G18" i="2"/>
  <c r="H17" i="2" l="1"/>
  <c r="H19" i="2" s="1"/>
  <c r="H24" i="2" s="1"/>
  <c r="H25" i="2"/>
  <c r="H13" i="2"/>
  <c r="H9" i="2"/>
  <c r="H18" i="2"/>
  <c r="G23" i="2"/>
  <c r="G26" i="2" s="1"/>
  <c r="G14" i="2"/>
  <c r="F26" i="2"/>
  <c r="H23" i="2" l="1"/>
  <c r="H26" i="2" s="1"/>
  <c r="H14" i="2"/>
</calcChain>
</file>

<file path=xl/sharedStrings.xml><?xml version="1.0" encoding="utf-8"?>
<sst xmlns="http://schemas.openxmlformats.org/spreadsheetml/2006/main" count="278" uniqueCount="225">
  <si>
    <t>INVITED CLUBS LBO - ASSUMPTIONS</t>
  </si>
  <si>
    <t>Prepared by:</t>
  </si>
  <si>
    <t>Date:</t>
  </si>
  <si>
    <t>DEAL OVERVIEW</t>
  </si>
  <si>
    <t>Target Company</t>
  </si>
  <si>
    <t>Industry</t>
  </si>
  <si>
    <t>Headquarters</t>
  </si>
  <si>
    <t>CEO</t>
  </si>
  <si>
    <t>Total Clubs</t>
  </si>
  <si>
    <t>Total Members</t>
  </si>
  <si>
    <t>Total Employees</t>
  </si>
  <si>
    <t>TRANSACTION TERMS</t>
  </si>
  <si>
    <t>Purchase Price (Enterprise Value)</t>
  </si>
  <si>
    <t>2025 LTM EBITDA</t>
  </si>
  <si>
    <t>Entry Multiple (EV / EBITDA)</t>
  </si>
  <si>
    <t>Close Date</t>
  </si>
  <si>
    <t>Buyer</t>
  </si>
  <si>
    <t>Seller</t>
  </si>
  <si>
    <t>Transaction Fees (&amp; of EV)</t>
  </si>
  <si>
    <t>Transaction Fees ($)</t>
  </si>
  <si>
    <t>Total Uses</t>
  </si>
  <si>
    <t>OPERATIONAL METRICS (2025 BASELINE)</t>
  </si>
  <si>
    <t>2025 Revenue (estimated)</t>
  </si>
  <si>
    <t>2025 EBITDA Margin</t>
  </si>
  <si>
    <t>Revenue per Member</t>
  </si>
  <si>
    <t>EBITDA per Club</t>
  </si>
  <si>
    <t>GROWTH ASSUMPTIONS</t>
  </si>
  <si>
    <t>Revenue Growth (Y1)</t>
  </si>
  <si>
    <t>Revenue Growth (Y2-Y6)</t>
  </si>
  <si>
    <t>EBITDA Margin Expansion (per year, bps)</t>
  </si>
  <si>
    <t>Member Growth (annual)</t>
  </si>
  <si>
    <t>CAPITAL STRUCTURE</t>
  </si>
  <si>
    <t>Senior Debt</t>
  </si>
  <si>
    <t>Sponsor Equity</t>
  </si>
  <si>
    <t>Debt / EBITDA</t>
  </si>
  <si>
    <t>Debt / Total Uses (LTC)</t>
  </si>
  <si>
    <t>DEBT TERMS</t>
  </si>
  <si>
    <t>Lender</t>
  </si>
  <si>
    <t>Debt Type</t>
  </si>
  <si>
    <t>SOFR Rate (current)</t>
  </si>
  <si>
    <t>Credit Spread (bps)</t>
  </si>
  <si>
    <t>All-In Interest Rate</t>
  </si>
  <si>
    <t>Mandatory Amortization</t>
  </si>
  <si>
    <t>Loan Maturity</t>
  </si>
  <si>
    <t>CAPEX &amp; WORKING CAPITAL</t>
  </si>
  <si>
    <t>Maintenance CapEx (% of Revenue)</t>
  </si>
  <si>
    <t>Growth Capex (% of Revenue)</t>
  </si>
  <si>
    <t>Change in Working Capital (% of Rev Growth)</t>
  </si>
  <si>
    <t>EXIT ASSUMPTIONS</t>
  </si>
  <si>
    <t>Hold Period (Years)</t>
  </si>
  <si>
    <t>Exit Multiple (EV / EBITDA)</t>
  </si>
  <si>
    <t>Transaction Costs at Exit (%)</t>
  </si>
  <si>
    <t>RETURN TARGETS (For Reference)</t>
  </si>
  <si>
    <t>Unlevered IRR Target</t>
  </si>
  <si>
    <t>Levered IRR Target</t>
  </si>
  <si>
    <t>MOIC Target</t>
  </si>
  <si>
    <t>Nik Wittenfeld</t>
  </si>
  <si>
    <t>Invited Clubs</t>
  </si>
  <si>
    <t>Private Club Operator (Golf)</t>
  </si>
  <si>
    <t>Dallas, TX</t>
  </si>
  <si>
    <t>David Pillsbury</t>
  </si>
  <si>
    <t>KSL Capital Partners</t>
  </si>
  <si>
    <t>Apollo Global Management</t>
  </si>
  <si>
    <t>Ares Credit (lead)</t>
  </si>
  <si>
    <t>First-Lien Private Credit</t>
  </si>
  <si>
    <t>11.0% - 13.0%</t>
  </si>
  <si>
    <t>18.0% - 22.0%</t>
  </si>
  <si>
    <t>2.0x - 2.5x</t>
  </si>
  <si>
    <t>INVITED CLUBS LBO - 6-YEAR OPERATING MODEL</t>
  </si>
  <si>
    <t>PRO FORMA</t>
  </si>
  <si>
    <t>Year 0 (2025)</t>
  </si>
  <si>
    <t>Year 1 (2026)</t>
  </si>
  <si>
    <t>Year 2 (2027)</t>
  </si>
  <si>
    <t>Year 3 (2028)</t>
  </si>
  <si>
    <t>Year 4 (2029)</t>
  </si>
  <si>
    <t>Year 5 (2030)</t>
  </si>
  <si>
    <t>Year 6 (2031)</t>
  </si>
  <si>
    <t>REVENUE</t>
  </si>
  <si>
    <t>Revenue</t>
  </si>
  <si>
    <t>Revenue Growth %</t>
  </si>
  <si>
    <t>-</t>
  </si>
  <si>
    <t>EBITDA</t>
  </si>
  <si>
    <t>EBITDA Margin %</t>
  </si>
  <si>
    <t>EBITDA Growth %</t>
  </si>
  <si>
    <t>CAPITAL EXPENDITURES</t>
  </si>
  <si>
    <t>Maintenance CapEx</t>
  </si>
  <si>
    <t>Growth CapEx</t>
  </si>
  <si>
    <t>Total CapEx</t>
  </si>
  <si>
    <t>UNLEVERED FREE CASH FLOW</t>
  </si>
  <si>
    <t>(-) Total CapEx</t>
  </si>
  <si>
    <t>(-) Change in Working Capital</t>
  </si>
  <si>
    <t>Unlevered Free Cash Flow</t>
  </si>
  <si>
    <t>OPERATIONAL METRICS</t>
  </si>
  <si>
    <t>Member Count</t>
  </si>
  <si>
    <t>INVITED CLUBS LBO - SOURCES &amp; USES + DEBT SCHEDULE</t>
  </si>
  <si>
    <t>SOURCES &amp; USES</t>
  </si>
  <si>
    <t>USES</t>
  </si>
  <si>
    <t>Transaction Fees (2%)</t>
  </si>
  <si>
    <t>SOURCES</t>
  </si>
  <si>
    <t>Senior Debt (Ares Private Credit)</t>
  </si>
  <si>
    <t>Sponsor Equity (KSL + Spieth)</t>
  </si>
  <si>
    <t>Total Sources</t>
  </si>
  <si>
    <t>Check (Sources - Uses)</t>
  </si>
  <si>
    <t>KEY DEAL METRICS</t>
  </si>
  <si>
    <t>Entry Multiple (EV / 2025 EBITDA)</t>
  </si>
  <si>
    <t>Debt / Total Capitilization</t>
  </si>
  <si>
    <t>Debt / EBITDA (Opening Leverage)</t>
  </si>
  <si>
    <t>Equity as % of Total</t>
  </si>
  <si>
    <t>DEBT SCHEDULE</t>
  </si>
  <si>
    <t>Loan Origination</t>
  </si>
  <si>
    <t>Beginning Balance</t>
  </si>
  <si>
    <t>(-) Interest Expense</t>
  </si>
  <si>
    <t>(-) Mandatory Amortization</t>
  </si>
  <si>
    <t>(-) Cash Sweep (50% of Excess FCF)</t>
  </si>
  <si>
    <t>Ending Balance</t>
  </si>
  <si>
    <t>Total Debt Service (Interest + Principal)</t>
  </si>
  <si>
    <t>Debt / EBITDA (End of Year)</t>
  </si>
  <si>
    <t>COVERAGE RATIOS</t>
  </si>
  <si>
    <t>Interest Expense (positive)</t>
  </si>
  <si>
    <t>Interest Coverage Ratio (EBITDA / Interest)</t>
  </si>
  <si>
    <t>Mandatory Debt Service (Interest + Amort)</t>
  </si>
  <si>
    <t>Fixed Charge Coverage (EBITDA / Mandatory DS)</t>
  </si>
  <si>
    <t>EXIT LOAN PAYOFF</t>
  </si>
  <si>
    <t>Loan Balance at Exit (Year 6 Ending)</t>
  </si>
  <si>
    <t>Total Principal Paid During Hold</t>
  </si>
  <si>
    <t>Principal Paid as % of Original Loan</t>
  </si>
  <si>
    <t>INVITED CLUBS LBO - RETRUNS ANALYSIS</t>
  </si>
  <si>
    <t>EXIT VALUATION (YEAR 6 SALE)</t>
  </si>
  <si>
    <t>Year 6 Stabilized EBITDA</t>
  </si>
  <si>
    <t>Exit Enterprise Value</t>
  </si>
  <si>
    <t>(-) Transaction Costs (1.5%)</t>
  </si>
  <si>
    <t xml:space="preserve">Net Sale Proceeds </t>
  </si>
  <si>
    <t>(-) Loan Payoff at Exit</t>
  </si>
  <si>
    <t>Net Equity Proceeds at Exit</t>
  </si>
  <si>
    <t>Total Enterprise Value Created</t>
  </si>
  <si>
    <t>Value Creation Multiple (Exit EV / Entry EV)</t>
  </si>
  <si>
    <t>Multiple Change (Entry &gt; Exit)</t>
  </si>
  <si>
    <t>7.43x &gt; 7.0x</t>
  </si>
  <si>
    <t>UNLEVERED CASH FLOWS</t>
  </si>
  <si>
    <t>Year 0</t>
  </si>
  <si>
    <t>Year 1</t>
  </si>
  <si>
    <t>Year 2</t>
  </si>
  <si>
    <t>Year 3</t>
  </si>
  <si>
    <t>Year 4</t>
  </si>
  <si>
    <t>Year 5</t>
  </si>
  <si>
    <t>Year 6</t>
  </si>
  <si>
    <t>Initial Investment (Total Uses)</t>
  </si>
  <si>
    <t>(+) Net Sale Proceeds at Exit</t>
  </si>
  <si>
    <t>Total Unlevered Cash Flow</t>
  </si>
  <si>
    <t>Unlevered IRR</t>
  </si>
  <si>
    <t>Unlevered MOIC</t>
  </si>
  <si>
    <t>Total Cash Returned</t>
  </si>
  <si>
    <t>Total Cash Invested</t>
  </si>
  <si>
    <t>LEVERED CASH FLOWS</t>
  </si>
  <si>
    <t>Initial Equity Investment</t>
  </si>
  <si>
    <t>(-) Cash Sweep</t>
  </si>
  <si>
    <t>Residual Cash Flow to Equity</t>
  </si>
  <si>
    <t>(+) Net Equity Proceeds at Exit</t>
  </si>
  <si>
    <t>Total Levered Cash Flow</t>
  </si>
  <si>
    <t>Levered IRR</t>
  </si>
  <si>
    <t>Levered MOIC</t>
  </si>
  <si>
    <t>Total Equity Returned</t>
  </si>
  <si>
    <t>Total Equity Invested</t>
  </si>
  <si>
    <t>INVITED CLUBS LBO - RETURNS BRIDGE (VALUE CREATION DECOMPOSITION)</t>
  </si>
  <si>
    <t>ENTRY STATE (JULY 2026)</t>
  </si>
  <si>
    <t>Entry Enterprise Value (Purchase Price)</t>
  </si>
  <si>
    <t>Entry EBITDA (2025 LTM)</t>
  </si>
  <si>
    <t>Starting Debt</t>
  </si>
  <si>
    <t>Starting Equity Value (EV - Debt)</t>
  </si>
  <si>
    <t>EXIT STATE (JULY 2032 - YEAR 6)</t>
  </si>
  <si>
    <t>Exit Enterprise Value (Y6 EBITDA x Exit Multiple)</t>
  </si>
  <si>
    <t>Exit EBITDA (Year 6)</t>
  </si>
  <si>
    <t>Ending Debt</t>
  </si>
  <si>
    <t>(-) Transaction Costs at Exit</t>
  </si>
  <si>
    <t>Exit Equity Value (EV - Debt - Costs)</t>
  </si>
  <si>
    <t>Entry Transaction Fees (Y0)</t>
  </si>
  <si>
    <t>VALUE CREATION BRIDGE (STARTING EQUITY &gt; EXIT EQUITY)</t>
  </si>
  <si>
    <t>Starting Equity Value</t>
  </si>
  <si>
    <t>(+) EBITDA Growth Impact</t>
  </si>
  <si>
    <t>(+/-) Multiple Change Impact</t>
  </si>
  <si>
    <t>(+) Debt Paydown Impact</t>
  </si>
  <si>
    <t>Subtotal: Business + Capital Structure Impact</t>
  </si>
  <si>
    <t>(-) Exit Transaction Costs</t>
  </si>
  <si>
    <t>Exit Equity Value</t>
  </si>
  <si>
    <t>Check</t>
  </si>
  <si>
    <t>% ATTRIBUTION OF VALUE CREATION (GROSS)</t>
  </si>
  <si>
    <t>Multiple Change</t>
  </si>
  <si>
    <t>Debt Paydown</t>
  </si>
  <si>
    <t>Total</t>
  </si>
  <si>
    <t>EBITDA Growth</t>
  </si>
  <si>
    <t>INVITED CLUBS LBO - INVESTMENT SUMMARY</t>
  </si>
  <si>
    <t>Company</t>
  </si>
  <si>
    <t>Hedquarters</t>
  </si>
  <si>
    <t>TRANSACTION</t>
  </si>
  <si>
    <t>INVESTMENT STRATEGY</t>
  </si>
  <si>
    <t>Strategy Type</t>
  </si>
  <si>
    <t>Thesis</t>
  </si>
  <si>
    <t>Platfrom Acquisition / Secondary PE Buyout</t>
  </si>
  <si>
    <t>Reacquisition from Apollo; combine with Heritage Golf Group for scale and synergies</t>
  </si>
  <si>
    <t>Total Capitalization</t>
  </si>
  <si>
    <t>KEY RETURNS METRICS</t>
  </si>
  <si>
    <t>EXIT SUMMARY (YEAR 6)</t>
  </si>
  <si>
    <t>Year 6 Stablized EBITDA</t>
  </si>
  <si>
    <t>Debt Paydown During Hold</t>
  </si>
  <si>
    <t>Y6 Leverage (Debt / EBITDA)</t>
  </si>
  <si>
    <t>VALUE CREATION BREAKDOWN</t>
  </si>
  <si>
    <t>EBITDA Growth Contribution</t>
  </si>
  <si>
    <t>Multiple Change Contribution</t>
  </si>
  <si>
    <t>Debt Paydown Contribution</t>
  </si>
  <si>
    <t>Total Gross Value Created</t>
  </si>
  <si>
    <t>INVESTMENT HIGHLIGHTS</t>
  </si>
  <si>
    <t>1. Recurring Revenue Platform</t>
  </si>
  <si>
    <t>2. Scale Through Combination</t>
  </si>
  <si>
    <t>3. Golf Participation Tailwind</t>
  </si>
  <si>
    <t>4. Sponsor Expertise</t>
  </si>
  <si>
    <t>5. Strong Debt Service Capacity</t>
  </si>
  <si>
    <t>6. Drematic Deleveraging</t>
  </si>
  <si>
    <t>7. Multiple Exit Paths</t>
  </si>
  <si>
    <t>430k+ members, 50% dues driven revenue</t>
  </si>
  <si>
    <t>150 clubs + 47 Heritage = largest NA golf operator</t>
  </si>
  <si>
    <t>48.1M US golfers (NGF), up from 47.2M prior year</t>
  </si>
  <si>
    <t>KSL owned ClubCorp 2006-2013; deep sector knowledge</t>
  </si>
  <si>
    <t>2.27x opening ICR; grows to 3.89x by exit</t>
  </si>
  <si>
    <t>2.45x Debt/EBITDA over hold</t>
  </si>
  <si>
    <t>Refinance, dividend recap, strategic sale, or 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</si>
</sst>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0\x"/>
    <numFmt numFmtId="166" formatCode="_(&quot;$&quot;* #,##0_);_(&quot;$&quot;* \(#,##0\);_(&quot;$&quot;* &quot;-&quot;??_);_(@_)"/>
    <numFmt numFmtId="167" formatCode="0.0%"/>
    <numFmt numFmtId="168" formatCode="_(* #,##0_);_(* \(#,##0\);_(* &quot;-&quot;??_);_(@_)"/>
  </numFmts>
  <fonts count="4" x14ac:knownFonts="1">
    <font>
      <sz val="36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1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20">
    <xf numFmtId="0" fontId="0" fillId="0" borderId="0" xfId="0"/>
    <xf numFmtId="164" fontId="0" fillId="0" borderId="0" xfId="0" applyNumberFormat="1"/>
    <xf numFmtId="15" fontId="0" fillId="0" borderId="0" xfId="0" applyNumberFormat="1"/>
    <xf numFmtId="44" fontId="0" fillId="0" borderId="0" xfId="1" applyFont="1"/>
    <xf numFmtId="165" fontId="0" fillId="0" borderId="0" xfId="0" applyNumberFormat="1"/>
    <xf numFmtId="9" fontId="0" fillId="0" borderId="0" xfId="2" applyFont="1"/>
    <xf numFmtId="166" fontId="0" fillId="0" borderId="0" xfId="1" applyNumberFormat="1" applyFont="1"/>
    <xf numFmtId="167" fontId="0" fillId="0" borderId="0" xfId="2" applyNumberFormat="1" applyFont="1"/>
    <xf numFmtId="44" fontId="0" fillId="0" borderId="0" xfId="0" applyNumberFormat="1"/>
    <xf numFmtId="165" fontId="0" fillId="0" borderId="0" xfId="2" applyNumberFormat="1" applyFont="1"/>
    <xf numFmtId="17" fontId="0" fillId="0" borderId="0" xfId="0" applyNumberFormat="1"/>
    <xf numFmtId="10" fontId="0" fillId="0" borderId="0" xfId="2" applyNumberFormat="1" applyFont="1"/>
    <xf numFmtId="2" fontId="0" fillId="0" borderId="0" xfId="0" applyNumberFormat="1"/>
    <xf numFmtId="1" fontId="0" fillId="0" borderId="0" xfId="0" applyNumberFormat="1"/>
    <xf numFmtId="166" fontId="0" fillId="0" borderId="0" xfId="0" applyNumberFormat="1"/>
    <xf numFmtId="49" fontId="0" fillId="0" borderId="0" xfId="0" applyNumberFormat="1"/>
    <xf numFmtId="9" fontId="0" fillId="0" borderId="0" xfId="0" applyNumberFormat="1"/>
    <xf numFmtId="167" fontId="0" fillId="0" borderId="0" xfId="0" applyNumberFormat="1"/>
    <xf numFmtId="168" fontId="0" fillId="0" borderId="0" xfId="3" applyNumberFormat="1" applyFont="1"/>
    <xf numFmtId="10" fontId="0" fillId="0" borderId="0" xfId="0" applyNumberFormat="1"/>
  </cellXfs>
  <cellStyles count="5">
    <cellStyle name="Comma" xfId="3" builtinId="3"/>
    <cellStyle name="Currency" xfId="1" builtinId="4"/>
    <cellStyle name="Normal" xfId="0" builtinId="0"/>
    <cellStyle name="Normal 2" xfId="4" xr:uid="{5D2527F7-F7A9-4C43-A080-0210F54598D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908E9-AE8B-4657-83C1-834809974EF9}">
  <dimension ref="A1:B65"/>
  <sheetViews>
    <sheetView topLeftCell="A40" zoomScale="54" workbookViewId="0">
      <selection activeCell="B17" sqref="B17"/>
    </sheetView>
  </sheetViews>
  <sheetFormatPr defaultRowHeight="46.9" x14ac:dyDescent="1.4"/>
  <cols>
    <col min="1" max="1" width="35.58984375" bestFit="1" customWidth="1"/>
    <col min="2" max="2" width="21.26171875" bestFit="1" customWidth="1"/>
  </cols>
  <sheetData>
    <row r="1" spans="1:2" x14ac:dyDescent="1.4">
      <c r="A1" t="s">
        <v>0</v>
      </c>
    </row>
    <row r="2" spans="1:2" x14ac:dyDescent="1.4">
      <c r="A2" t="s">
        <v>1</v>
      </c>
      <c r="B2" t="s">
        <v>56</v>
      </c>
    </row>
    <row r="3" spans="1:2" x14ac:dyDescent="1.4">
      <c r="A3" t="s">
        <v>2</v>
      </c>
      <c r="B3" s="1">
        <v>46296</v>
      </c>
    </row>
    <row r="5" spans="1:2" x14ac:dyDescent="1.4">
      <c r="A5" t="s">
        <v>3</v>
      </c>
    </row>
    <row r="6" spans="1:2" x14ac:dyDescent="1.4">
      <c r="A6" t="s">
        <v>4</v>
      </c>
      <c r="B6" t="s">
        <v>57</v>
      </c>
    </row>
    <row r="7" spans="1:2" x14ac:dyDescent="1.4">
      <c r="A7" t="s">
        <v>5</v>
      </c>
      <c r="B7" t="s">
        <v>58</v>
      </c>
    </row>
    <row r="8" spans="1:2" x14ac:dyDescent="1.4">
      <c r="A8" t="s">
        <v>6</v>
      </c>
      <c r="B8" t="s">
        <v>59</v>
      </c>
    </row>
    <row r="9" spans="1:2" x14ac:dyDescent="1.4">
      <c r="A9" t="s">
        <v>7</v>
      </c>
      <c r="B9" t="s">
        <v>60</v>
      </c>
    </row>
    <row r="10" spans="1:2" x14ac:dyDescent="1.4">
      <c r="A10" t="s">
        <v>8</v>
      </c>
      <c r="B10">
        <v>150</v>
      </c>
    </row>
    <row r="11" spans="1:2" x14ac:dyDescent="1.4">
      <c r="A11" t="s">
        <v>9</v>
      </c>
      <c r="B11">
        <v>430000</v>
      </c>
    </row>
    <row r="12" spans="1:2" x14ac:dyDescent="1.4">
      <c r="A12" t="s">
        <v>10</v>
      </c>
      <c r="B12">
        <v>20000</v>
      </c>
    </row>
    <row r="14" spans="1:2" x14ac:dyDescent="1.4">
      <c r="A14" t="s">
        <v>11</v>
      </c>
    </row>
    <row r="15" spans="1:2" x14ac:dyDescent="1.4">
      <c r="A15" t="s">
        <v>12</v>
      </c>
      <c r="B15" s="3">
        <v>2600000000</v>
      </c>
    </row>
    <row r="16" spans="1:2" x14ac:dyDescent="1.4">
      <c r="A16" t="s">
        <v>13</v>
      </c>
      <c r="B16" s="3">
        <v>350000000</v>
      </c>
    </row>
    <row r="17" spans="1:2" x14ac:dyDescent="1.4">
      <c r="A17" t="s">
        <v>14</v>
      </c>
      <c r="B17" s="4">
        <f>B15/B16</f>
        <v>7.4285714285714288</v>
      </c>
    </row>
    <row r="18" spans="1:2" x14ac:dyDescent="1.4">
      <c r="A18" t="s">
        <v>15</v>
      </c>
      <c r="B18" s="2">
        <v>46204</v>
      </c>
    </row>
    <row r="19" spans="1:2" x14ac:dyDescent="1.4">
      <c r="A19" t="s">
        <v>16</v>
      </c>
      <c r="B19" t="s">
        <v>61</v>
      </c>
    </row>
    <row r="20" spans="1:2" x14ac:dyDescent="1.4">
      <c r="A20" t="s">
        <v>17</v>
      </c>
      <c r="B20" t="s">
        <v>62</v>
      </c>
    </row>
    <row r="21" spans="1:2" x14ac:dyDescent="1.4">
      <c r="A21" t="s">
        <v>18</v>
      </c>
      <c r="B21" s="5">
        <v>0.02</v>
      </c>
    </row>
    <row r="22" spans="1:2" x14ac:dyDescent="1.4">
      <c r="A22" t="s">
        <v>19</v>
      </c>
      <c r="B22" s="3">
        <f>B21*B15</f>
        <v>52000000</v>
      </c>
    </row>
    <row r="23" spans="1:2" x14ac:dyDescent="1.4">
      <c r="A23" t="s">
        <v>20</v>
      </c>
      <c r="B23" s="3">
        <f>B15+B22</f>
        <v>2652000000</v>
      </c>
    </row>
    <row r="25" spans="1:2" x14ac:dyDescent="1.4">
      <c r="A25" t="s">
        <v>21</v>
      </c>
    </row>
    <row r="26" spans="1:2" x14ac:dyDescent="1.4">
      <c r="A26" t="s">
        <v>22</v>
      </c>
      <c r="B26" s="6">
        <v>1500000000</v>
      </c>
    </row>
    <row r="27" spans="1:2" x14ac:dyDescent="1.4">
      <c r="A27" t="s">
        <v>23</v>
      </c>
      <c r="B27" s="7">
        <f>B16/B26</f>
        <v>0.23333333333333334</v>
      </c>
    </row>
    <row r="28" spans="1:2" x14ac:dyDescent="1.4">
      <c r="A28" t="s">
        <v>24</v>
      </c>
      <c r="B28" s="3">
        <f>B26/B11</f>
        <v>3488.3720930232557</v>
      </c>
    </row>
    <row r="29" spans="1:2" x14ac:dyDescent="1.4">
      <c r="A29" t="s">
        <v>25</v>
      </c>
      <c r="B29" s="3">
        <f>B16/B10</f>
        <v>2333333.3333333335</v>
      </c>
    </row>
    <row r="31" spans="1:2" x14ac:dyDescent="1.4">
      <c r="A31" t="s">
        <v>26</v>
      </c>
    </row>
    <row r="32" spans="1:2" x14ac:dyDescent="1.4">
      <c r="A32" t="s">
        <v>27</v>
      </c>
      <c r="B32">
        <v>0.04</v>
      </c>
    </row>
    <row r="33" spans="1:2" x14ac:dyDescent="1.4">
      <c r="A33" t="s">
        <v>28</v>
      </c>
      <c r="B33">
        <v>4.4999999999999998E-2</v>
      </c>
    </row>
    <row r="34" spans="1:2" x14ac:dyDescent="1.4">
      <c r="A34" t="s">
        <v>29</v>
      </c>
      <c r="B34">
        <v>25</v>
      </c>
    </row>
    <row r="35" spans="1:2" x14ac:dyDescent="1.4">
      <c r="A35" t="s">
        <v>30</v>
      </c>
      <c r="B35">
        <v>1.4999999999999999E-2</v>
      </c>
    </row>
    <row r="37" spans="1:2" x14ac:dyDescent="1.4">
      <c r="A37" t="s">
        <v>31</v>
      </c>
    </row>
    <row r="38" spans="1:2" x14ac:dyDescent="1.4">
      <c r="A38" t="s">
        <v>32</v>
      </c>
      <c r="B38" s="3">
        <v>1700000000</v>
      </c>
    </row>
    <row r="39" spans="1:2" x14ac:dyDescent="1.4">
      <c r="A39" t="s">
        <v>33</v>
      </c>
      <c r="B39" s="8">
        <f>B23-B38</f>
        <v>952000000</v>
      </c>
    </row>
    <row r="40" spans="1:2" x14ac:dyDescent="1.4">
      <c r="A40" t="s">
        <v>34</v>
      </c>
      <c r="B40" s="9">
        <f>B38/B16</f>
        <v>4.8571428571428568</v>
      </c>
    </row>
    <row r="41" spans="1:2" x14ac:dyDescent="1.4">
      <c r="A41" t="s">
        <v>35</v>
      </c>
      <c r="B41" s="7">
        <f>B38/B23</f>
        <v>0.64102564102564108</v>
      </c>
    </row>
    <row r="43" spans="1:2" x14ac:dyDescent="1.4">
      <c r="A43" t="s">
        <v>36</v>
      </c>
    </row>
    <row r="44" spans="1:2" x14ac:dyDescent="1.4">
      <c r="A44" t="s">
        <v>37</v>
      </c>
      <c r="B44" t="s">
        <v>63</v>
      </c>
    </row>
    <row r="45" spans="1:2" x14ac:dyDescent="1.4">
      <c r="A45" t="s">
        <v>38</v>
      </c>
      <c r="B45" t="s">
        <v>64</v>
      </c>
    </row>
    <row r="46" spans="1:2" x14ac:dyDescent="1.4">
      <c r="A46" t="s">
        <v>39</v>
      </c>
      <c r="B46">
        <v>4.65E-2</v>
      </c>
    </row>
    <row r="47" spans="1:2" x14ac:dyDescent="1.4">
      <c r="A47" t="s">
        <v>40</v>
      </c>
      <c r="B47">
        <v>487.5</v>
      </c>
    </row>
    <row r="48" spans="1:2" x14ac:dyDescent="1.4">
      <c r="A48" t="s">
        <v>41</v>
      </c>
      <c r="B48" s="11">
        <f>B46+B47/10000</f>
        <v>9.5250000000000001E-2</v>
      </c>
    </row>
    <row r="49" spans="1:2" x14ac:dyDescent="1.4">
      <c r="A49" t="s">
        <v>42</v>
      </c>
      <c r="B49">
        <v>0.01</v>
      </c>
    </row>
    <row r="50" spans="1:2" x14ac:dyDescent="1.4">
      <c r="A50" t="s">
        <v>43</v>
      </c>
      <c r="B50" s="10">
        <v>48396</v>
      </c>
    </row>
    <row r="52" spans="1:2" x14ac:dyDescent="1.4">
      <c r="A52" t="s">
        <v>44</v>
      </c>
    </row>
    <row r="53" spans="1:2" x14ac:dyDescent="1.4">
      <c r="A53" t="s">
        <v>45</v>
      </c>
      <c r="B53">
        <v>0.05</v>
      </c>
    </row>
    <row r="54" spans="1:2" x14ac:dyDescent="1.4">
      <c r="A54" t="s">
        <v>46</v>
      </c>
      <c r="B54">
        <v>0.02</v>
      </c>
    </row>
    <row r="55" spans="1:2" x14ac:dyDescent="1.4">
      <c r="A55" t="s">
        <v>47</v>
      </c>
      <c r="B55">
        <v>0.02</v>
      </c>
    </row>
    <row r="57" spans="1:2" x14ac:dyDescent="1.4">
      <c r="A57" t="s">
        <v>48</v>
      </c>
    </row>
    <row r="58" spans="1:2" x14ac:dyDescent="1.4">
      <c r="A58" t="s">
        <v>49</v>
      </c>
      <c r="B58">
        <v>6</v>
      </c>
    </row>
    <row r="59" spans="1:2" x14ac:dyDescent="1.4">
      <c r="A59" t="s">
        <v>50</v>
      </c>
      <c r="B59">
        <v>7</v>
      </c>
    </row>
    <row r="60" spans="1:2" x14ac:dyDescent="1.4">
      <c r="A60" t="s">
        <v>51</v>
      </c>
      <c r="B60" s="7">
        <v>1.4999999999999999E-2</v>
      </c>
    </row>
    <row r="62" spans="1:2" x14ac:dyDescent="1.4">
      <c r="A62" t="s">
        <v>52</v>
      </c>
    </row>
    <row r="63" spans="1:2" x14ac:dyDescent="1.4">
      <c r="A63" t="s">
        <v>53</v>
      </c>
      <c r="B63" t="s">
        <v>65</v>
      </c>
    </row>
    <row r="64" spans="1:2" x14ac:dyDescent="1.4">
      <c r="A64" t="s">
        <v>54</v>
      </c>
      <c r="B64" t="s">
        <v>66</v>
      </c>
    </row>
    <row r="65" spans="1:2" x14ac:dyDescent="1.4">
      <c r="A65" t="s">
        <v>55</v>
      </c>
      <c r="B65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20471-FFC1-43B4-8824-A8941651BCD4}">
  <dimension ref="A1:H31"/>
  <sheetViews>
    <sheetView zoomScale="23" workbookViewId="0">
      <selection activeCell="A33" sqref="A33"/>
    </sheetView>
  </sheetViews>
  <sheetFormatPr defaultRowHeight="46.9" x14ac:dyDescent="1.4"/>
  <cols>
    <col min="1" max="1" width="39.4453125" bestFit="1" customWidth="1"/>
    <col min="2" max="8" width="16.85546875" bestFit="1" customWidth="1"/>
  </cols>
  <sheetData>
    <row r="1" spans="1:8" x14ac:dyDescent="1.4">
      <c r="A1" t="s">
        <v>68</v>
      </c>
    </row>
    <row r="3" spans="1:8" x14ac:dyDescent="1.4">
      <c r="A3" t="s">
        <v>69</v>
      </c>
    </row>
    <row r="5" spans="1:8" x14ac:dyDescent="1.4">
      <c r="B5" t="s">
        <v>70</v>
      </c>
      <c r="C5" t="s">
        <v>71</v>
      </c>
      <c r="D5" t="s">
        <v>72</v>
      </c>
      <c r="E5" t="s">
        <v>73</v>
      </c>
      <c r="F5" t="s">
        <v>74</v>
      </c>
      <c r="G5" t="s">
        <v>75</v>
      </c>
      <c r="H5" t="s">
        <v>76</v>
      </c>
    </row>
    <row r="7" spans="1:8" x14ac:dyDescent="1.4">
      <c r="A7" t="s">
        <v>77</v>
      </c>
    </row>
    <row r="8" spans="1:8" x14ac:dyDescent="1.4">
      <c r="A8" t="s">
        <v>78</v>
      </c>
      <c r="B8" s="3">
        <f>Assumptions!B26</f>
        <v>1500000000</v>
      </c>
      <c r="C8" s="8">
        <f>B8*(1+Assumptions!$B$32)</f>
        <v>1560000000</v>
      </c>
      <c r="D8" s="8">
        <f>C8*(1+Assumptions!$B$33)</f>
        <v>1630200000</v>
      </c>
      <c r="E8" s="8">
        <f>D8*(1+Assumptions!$B$33)</f>
        <v>1703559000</v>
      </c>
      <c r="F8" s="8">
        <f>E8*(1+Assumptions!$B$33)</f>
        <v>1780219154.9999998</v>
      </c>
      <c r="G8" s="8">
        <f>F8*(1+Assumptions!$B$33)</f>
        <v>1860329016.9749997</v>
      </c>
      <c r="H8" s="8">
        <f>G8*(1+Assumptions!$B$33)</f>
        <v>1944043822.7388744</v>
      </c>
    </row>
    <row r="9" spans="1:8" x14ac:dyDescent="1.4">
      <c r="A9" t="s">
        <v>79</v>
      </c>
      <c r="B9" s="3" t="s">
        <v>80</v>
      </c>
      <c r="C9" s="7">
        <f>C8/B8-1</f>
        <v>4.0000000000000036E-2</v>
      </c>
      <c r="D9" s="7">
        <f t="shared" ref="D9:H9" si="0">D8/C8-1</f>
        <v>4.4999999999999929E-2</v>
      </c>
      <c r="E9" s="7">
        <f t="shared" si="0"/>
        <v>4.4999999999999929E-2</v>
      </c>
      <c r="F9" s="7">
        <f t="shared" si="0"/>
        <v>4.4999999999999929E-2</v>
      </c>
      <c r="G9" s="7">
        <f t="shared" si="0"/>
        <v>4.4999999999999929E-2</v>
      </c>
      <c r="H9" s="7">
        <f t="shared" si="0"/>
        <v>4.4999999999999929E-2</v>
      </c>
    </row>
    <row r="11" spans="1:8" x14ac:dyDescent="1.4">
      <c r="A11" t="s">
        <v>81</v>
      </c>
    </row>
    <row r="12" spans="1:8" x14ac:dyDescent="1.4">
      <c r="A12" t="s">
        <v>82</v>
      </c>
      <c r="B12" s="7">
        <f>Assumptions!B27</f>
        <v>0.23333333333333334</v>
      </c>
      <c r="C12" s="7">
        <f>B12+Assumptions!$B$34/10000</f>
        <v>0.23583333333333334</v>
      </c>
      <c r="D12" s="7">
        <f>C12+Assumptions!$B$34/10000</f>
        <v>0.23833333333333334</v>
      </c>
      <c r="E12" s="7">
        <f>D12+Assumptions!$B$34/10000</f>
        <v>0.24083333333333334</v>
      </c>
      <c r="F12" s="7">
        <f>E12+Assumptions!$B$34/10000</f>
        <v>0.24333333333333335</v>
      </c>
      <c r="G12" s="7">
        <f>F12+Assumptions!$B$34/10000</f>
        <v>0.24583333333333335</v>
      </c>
      <c r="H12" s="7">
        <f>G12+Assumptions!$B$34/10000</f>
        <v>0.24833333333333335</v>
      </c>
    </row>
    <row r="13" spans="1:8" x14ac:dyDescent="1.4">
      <c r="A13" t="s">
        <v>81</v>
      </c>
      <c r="B13" s="8">
        <f>B8*B12</f>
        <v>350000000</v>
      </c>
      <c r="C13" s="8">
        <f t="shared" ref="C13:H13" si="1">C8*C12</f>
        <v>367900000</v>
      </c>
      <c r="D13" s="8">
        <f t="shared" si="1"/>
        <v>388531000</v>
      </c>
      <c r="E13" s="8">
        <f t="shared" si="1"/>
        <v>410273792.5</v>
      </c>
      <c r="F13" s="8">
        <f t="shared" si="1"/>
        <v>433186661.04999995</v>
      </c>
      <c r="G13" s="8">
        <f t="shared" si="1"/>
        <v>457330883.33968747</v>
      </c>
      <c r="H13" s="8">
        <f t="shared" si="1"/>
        <v>482770882.64682055</v>
      </c>
    </row>
    <row r="14" spans="1:8" x14ac:dyDescent="1.4">
      <c r="A14" t="s">
        <v>83</v>
      </c>
      <c r="B14" s="3" t="s">
        <v>80</v>
      </c>
      <c r="C14" s="7">
        <f>C13/B13-1</f>
        <v>5.1142857142857157E-2</v>
      </c>
      <c r="D14" s="7">
        <f t="shared" ref="D14:H14" si="2">D13/C13-1</f>
        <v>5.6077738515901032E-2</v>
      </c>
      <c r="E14" s="7">
        <f t="shared" si="2"/>
        <v>5.5961538461538396E-2</v>
      </c>
      <c r="F14" s="7">
        <f t="shared" si="2"/>
        <v>5.5847750865051893E-2</v>
      </c>
      <c r="G14" s="7">
        <f t="shared" si="2"/>
        <v>5.5736301369863073E-2</v>
      </c>
      <c r="H14" s="7">
        <f t="shared" si="2"/>
        <v>5.5627118644067775E-2</v>
      </c>
    </row>
    <row r="16" spans="1:8" x14ac:dyDescent="1.4">
      <c r="A16" t="s">
        <v>84</v>
      </c>
    </row>
    <row r="17" spans="1:8" x14ac:dyDescent="1.4">
      <c r="A17" t="s">
        <v>85</v>
      </c>
      <c r="B17" s="3">
        <f>-B8*Assumptions!$B$53</f>
        <v>-75000000</v>
      </c>
      <c r="C17" s="3">
        <f>-C8*Assumptions!$B$53</f>
        <v>-78000000</v>
      </c>
      <c r="D17" s="3">
        <f>-D8*Assumptions!$B$53</f>
        <v>-81510000</v>
      </c>
      <c r="E17" s="3">
        <f>-E8*Assumptions!$B$53</f>
        <v>-85177950</v>
      </c>
      <c r="F17" s="3">
        <f>-F8*Assumptions!$B$53</f>
        <v>-89010957.75</v>
      </c>
      <c r="G17" s="3">
        <f>-G8*Assumptions!$B$53</f>
        <v>-93016450.848749995</v>
      </c>
      <c r="H17" s="3">
        <f>-H8*Assumptions!$B$53</f>
        <v>-97202191.136943728</v>
      </c>
    </row>
    <row r="18" spans="1:8" x14ac:dyDescent="1.4">
      <c r="A18" t="s">
        <v>86</v>
      </c>
      <c r="B18" s="3">
        <f>-B8*Assumptions!$B$54</f>
        <v>-30000000</v>
      </c>
      <c r="C18" s="3">
        <f>-C8*Assumptions!$B$54</f>
        <v>-31200000</v>
      </c>
      <c r="D18" s="3">
        <f>-D8*Assumptions!$B$54</f>
        <v>-32604000</v>
      </c>
      <c r="E18" s="3">
        <f>-E8*Assumptions!$B$54</f>
        <v>-34071180</v>
      </c>
      <c r="F18" s="3">
        <f>-F8*Assumptions!$B$54</f>
        <v>-35604383.099999994</v>
      </c>
      <c r="G18" s="3">
        <f>-G8*Assumptions!$B$54</f>
        <v>-37206580.339499995</v>
      </c>
      <c r="H18" s="3">
        <f>-H8*Assumptions!$B$54</f>
        <v>-38880876.454777487</v>
      </c>
    </row>
    <row r="19" spans="1:8" x14ac:dyDescent="1.4">
      <c r="A19" t="s">
        <v>87</v>
      </c>
      <c r="B19" s="8">
        <f>B17+B18</f>
        <v>-105000000</v>
      </c>
      <c r="C19" s="8">
        <f t="shared" ref="C19:H19" si="3">C17+C18</f>
        <v>-109200000</v>
      </c>
      <c r="D19" s="8">
        <f t="shared" si="3"/>
        <v>-114114000</v>
      </c>
      <c r="E19" s="8">
        <f t="shared" si="3"/>
        <v>-119249130</v>
      </c>
      <c r="F19" s="8">
        <f t="shared" si="3"/>
        <v>-124615340.84999999</v>
      </c>
      <c r="G19" s="8">
        <f t="shared" si="3"/>
        <v>-130223031.18824999</v>
      </c>
      <c r="H19" s="8">
        <f t="shared" si="3"/>
        <v>-136083067.59172121</v>
      </c>
    </row>
    <row r="22" spans="1:8" x14ac:dyDescent="1.4">
      <c r="A22" t="s">
        <v>88</v>
      </c>
    </row>
    <row r="23" spans="1:8" x14ac:dyDescent="1.4">
      <c r="A23" t="s">
        <v>81</v>
      </c>
      <c r="B23" s="8">
        <f>B13</f>
        <v>350000000</v>
      </c>
      <c r="C23" s="8">
        <f t="shared" ref="C23:H23" si="4">C13</f>
        <v>367900000</v>
      </c>
      <c r="D23" s="8">
        <f t="shared" si="4"/>
        <v>388531000</v>
      </c>
      <c r="E23" s="8">
        <f t="shared" si="4"/>
        <v>410273792.5</v>
      </c>
      <c r="F23" s="8">
        <f t="shared" si="4"/>
        <v>433186661.04999995</v>
      </c>
      <c r="G23" s="8">
        <f t="shared" si="4"/>
        <v>457330883.33968747</v>
      </c>
      <c r="H23" s="8">
        <f t="shared" si="4"/>
        <v>482770882.64682055</v>
      </c>
    </row>
    <row r="24" spans="1:8" x14ac:dyDescent="1.4">
      <c r="A24" t="s">
        <v>89</v>
      </c>
      <c r="B24" s="8">
        <f>B19</f>
        <v>-105000000</v>
      </c>
      <c r="C24" s="8">
        <f t="shared" ref="C24:H24" si="5">C19</f>
        <v>-109200000</v>
      </c>
      <c r="D24" s="8">
        <f t="shared" si="5"/>
        <v>-114114000</v>
      </c>
      <c r="E24" s="8">
        <f t="shared" si="5"/>
        <v>-119249130</v>
      </c>
      <c r="F24" s="8">
        <f t="shared" si="5"/>
        <v>-124615340.84999999</v>
      </c>
      <c r="G24" s="8">
        <f t="shared" si="5"/>
        <v>-130223031.18824999</v>
      </c>
      <c r="H24" s="8">
        <f t="shared" si="5"/>
        <v>-136083067.59172121</v>
      </c>
    </row>
    <row r="25" spans="1:8" x14ac:dyDescent="1.4">
      <c r="A25" t="s">
        <v>90</v>
      </c>
      <c r="B25" s="3">
        <v>0</v>
      </c>
      <c r="C25" s="3">
        <f>-(C8-B8)*Assumptions!$B$55</f>
        <v>-1200000</v>
      </c>
      <c r="D25" s="3">
        <f>-(D8-C8)*Assumptions!$B$55</f>
        <v>-1404000</v>
      </c>
      <c r="E25" s="3">
        <f>-(E8-D8)*Assumptions!$B$55</f>
        <v>-1467180</v>
      </c>
      <c r="F25" s="3">
        <f>-(F8-E8)*Assumptions!$B$55</f>
        <v>-1533203.0999999952</v>
      </c>
      <c r="G25" s="3">
        <f>-(G8-F8)*Assumptions!$B$55</f>
        <v>-1602197.239499998</v>
      </c>
      <c r="H25" s="3">
        <f>-(H8-G8)*Assumptions!$B$55</f>
        <v>-1674296.1152774955</v>
      </c>
    </row>
    <row r="26" spans="1:8" x14ac:dyDescent="1.4">
      <c r="A26" t="s">
        <v>91</v>
      </c>
      <c r="B26" s="8">
        <f>B23+B24+B25</f>
        <v>245000000</v>
      </c>
      <c r="C26" s="8">
        <f t="shared" ref="C26:H26" si="6">C23+C24+C25</f>
        <v>257500000</v>
      </c>
      <c r="D26" s="8">
        <f t="shared" si="6"/>
        <v>273013000</v>
      </c>
      <c r="E26" s="8">
        <f t="shared" si="6"/>
        <v>289557482.5</v>
      </c>
      <c r="F26" s="8">
        <f t="shared" si="6"/>
        <v>307038117.0999999</v>
      </c>
      <c r="G26" s="8">
        <f t="shared" si="6"/>
        <v>325505654.91193748</v>
      </c>
      <c r="H26" s="8">
        <f t="shared" si="6"/>
        <v>345013518.9398219</v>
      </c>
    </row>
    <row r="28" spans="1:8" x14ac:dyDescent="1.4">
      <c r="A28" t="s">
        <v>92</v>
      </c>
    </row>
    <row r="29" spans="1:8" x14ac:dyDescent="1.4">
      <c r="A29" t="s">
        <v>93</v>
      </c>
      <c r="B29" s="13">
        <f>Assumptions!B11</f>
        <v>430000</v>
      </c>
      <c r="C29" s="13">
        <f>B29*(1+Assumptions!$B$35)</f>
        <v>436449.99999999994</v>
      </c>
      <c r="D29" s="13">
        <f>C29*(1+Assumptions!$B$35)</f>
        <v>442996.74999999988</v>
      </c>
      <c r="E29" s="13">
        <f>D29*(1+Assumptions!$B$35)</f>
        <v>449641.70124999987</v>
      </c>
      <c r="F29" s="13">
        <f>E29*(1+Assumptions!$B$35)</f>
        <v>456386.3267687498</v>
      </c>
      <c r="G29" s="13">
        <f>F29*(1+Assumptions!$B$35)</f>
        <v>463232.12167028099</v>
      </c>
      <c r="H29" s="13">
        <f>G29*(1+Assumptions!$B$35)</f>
        <v>470180.60349533515</v>
      </c>
    </row>
    <row r="30" spans="1:8" x14ac:dyDescent="1.4">
      <c r="A30" t="s">
        <v>24</v>
      </c>
      <c r="B30" s="14">
        <f>B8/B29</f>
        <v>3488.3720930232557</v>
      </c>
      <c r="C30" s="14">
        <f t="shared" ref="C30:H30" si="7">C8/C29</f>
        <v>3574.2925879253071</v>
      </c>
      <c r="D30" s="14">
        <f t="shared" si="7"/>
        <v>3679.9367038245778</v>
      </c>
      <c r="E30" s="14">
        <f t="shared" si="7"/>
        <v>3788.7033059080627</v>
      </c>
      <c r="F30" s="14">
        <f t="shared" si="7"/>
        <v>3900.6846844078086</v>
      </c>
      <c r="G30" s="14">
        <f t="shared" si="7"/>
        <v>4015.9758573459708</v>
      </c>
      <c r="H30" s="14">
        <f t="shared" si="7"/>
        <v>4134.6746511591518</v>
      </c>
    </row>
    <row r="31" spans="1:8" x14ac:dyDescent="1.4">
      <c r="A31" t="s">
        <v>25</v>
      </c>
      <c r="B31" s="8">
        <f>B13/Assumptions!$B$10</f>
        <v>2333333.3333333335</v>
      </c>
      <c r="C31" s="8">
        <f>C13/Assumptions!$B$10</f>
        <v>2452666.6666666665</v>
      </c>
      <c r="D31" s="8">
        <f>D13/Assumptions!$B$10</f>
        <v>2590206.6666666665</v>
      </c>
      <c r="E31" s="8">
        <f>E13/Assumptions!$B$10</f>
        <v>2735158.6166666667</v>
      </c>
      <c r="F31" s="8">
        <f>F13/Assumptions!$B$10</f>
        <v>2887911.0736666662</v>
      </c>
      <c r="G31" s="8">
        <f>G13/Assumptions!$B$10</f>
        <v>3048872.5555979162</v>
      </c>
      <c r="H31" s="8">
        <f>H13/Assumptions!$B$10</f>
        <v>3218472.5509788035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8C4B-5157-4239-BF95-C02BB961A880}">
  <dimension ref="A1:H44"/>
  <sheetViews>
    <sheetView topLeftCell="C25" zoomScale="37" workbookViewId="0">
      <selection activeCell="D50" sqref="D50"/>
    </sheetView>
  </sheetViews>
  <sheetFormatPr defaultRowHeight="46.9" x14ac:dyDescent="1.4"/>
  <cols>
    <col min="1" max="1" width="47.40625" bestFit="1" customWidth="1"/>
    <col min="2" max="2" width="16.95703125" bestFit="1" customWidth="1"/>
    <col min="3" max="8" width="15.3671875" bestFit="1" customWidth="1"/>
  </cols>
  <sheetData>
    <row r="1" spans="1:2" x14ac:dyDescent="1.4">
      <c r="A1" t="s">
        <v>94</v>
      </c>
    </row>
    <row r="3" spans="1:2" x14ac:dyDescent="1.4">
      <c r="A3" t="s">
        <v>95</v>
      </c>
    </row>
    <row r="5" spans="1:2" x14ac:dyDescent="1.4">
      <c r="A5" t="s">
        <v>96</v>
      </c>
    </row>
    <row r="6" spans="1:2" x14ac:dyDescent="1.4">
      <c r="A6" t="s">
        <v>12</v>
      </c>
      <c r="B6" s="8">
        <f>Assumptions!B15</f>
        <v>2600000000</v>
      </c>
    </row>
    <row r="7" spans="1:2" x14ac:dyDescent="1.4">
      <c r="A7" t="s">
        <v>97</v>
      </c>
      <c r="B7" s="8">
        <f>Assumptions!B22</f>
        <v>52000000</v>
      </c>
    </row>
    <row r="8" spans="1:2" x14ac:dyDescent="1.4">
      <c r="A8" t="s">
        <v>20</v>
      </c>
      <c r="B8" s="8">
        <f>SUM(B6:B7)</f>
        <v>2652000000</v>
      </c>
    </row>
    <row r="10" spans="1:2" x14ac:dyDescent="1.4">
      <c r="A10" t="s">
        <v>98</v>
      </c>
    </row>
    <row r="11" spans="1:2" x14ac:dyDescent="1.4">
      <c r="A11" t="s">
        <v>99</v>
      </c>
      <c r="B11" s="8">
        <f>Assumptions!B38</f>
        <v>1700000000</v>
      </c>
    </row>
    <row r="12" spans="1:2" x14ac:dyDescent="1.4">
      <c r="A12" t="s">
        <v>100</v>
      </c>
      <c r="B12" s="8">
        <f>Assumptions!B39</f>
        <v>952000000</v>
      </c>
    </row>
    <row r="13" spans="1:2" x14ac:dyDescent="1.4">
      <c r="A13" t="s">
        <v>101</v>
      </c>
      <c r="B13" s="8">
        <f>B11+B12</f>
        <v>2652000000</v>
      </c>
    </row>
    <row r="14" spans="1:2" x14ac:dyDescent="1.4">
      <c r="A14" t="s">
        <v>102</v>
      </c>
      <c r="B14" s="8">
        <f>B13-B8</f>
        <v>0</v>
      </c>
    </row>
    <row r="16" spans="1:2" x14ac:dyDescent="1.4">
      <c r="A16" t="s">
        <v>103</v>
      </c>
    </row>
    <row r="17" spans="1:8" x14ac:dyDescent="1.4">
      <c r="A17" t="s">
        <v>104</v>
      </c>
      <c r="B17">
        <f>B6/Assumptions!B16</f>
        <v>7.4285714285714288</v>
      </c>
    </row>
    <row r="18" spans="1:8" x14ac:dyDescent="1.4">
      <c r="A18" t="s">
        <v>106</v>
      </c>
      <c r="B18">
        <f>B6/B13</f>
        <v>0.98039215686274506</v>
      </c>
    </row>
    <row r="19" spans="1:8" x14ac:dyDescent="1.4">
      <c r="A19" t="s">
        <v>105</v>
      </c>
      <c r="B19">
        <f>B11/B13</f>
        <v>0.64102564102564108</v>
      </c>
    </row>
    <row r="20" spans="1:8" x14ac:dyDescent="1.4">
      <c r="A20" t="s">
        <v>107</v>
      </c>
      <c r="B20">
        <f>B12/B13</f>
        <v>0.35897435897435898</v>
      </c>
    </row>
    <row r="22" spans="1:8" x14ac:dyDescent="1.4">
      <c r="A22" t="s">
        <v>108</v>
      </c>
    </row>
    <row r="24" spans="1:8" x14ac:dyDescent="1.4">
      <c r="B24" t="s">
        <v>109</v>
      </c>
      <c r="C24" t="s">
        <v>71</v>
      </c>
      <c r="D24" t="s">
        <v>72</v>
      </c>
      <c r="E24" t="s">
        <v>73</v>
      </c>
      <c r="F24" t="s">
        <v>74</v>
      </c>
      <c r="G24" t="s">
        <v>75</v>
      </c>
      <c r="H24" t="s">
        <v>76</v>
      </c>
    </row>
    <row r="25" spans="1:8" x14ac:dyDescent="1.4">
      <c r="A25" t="s">
        <v>110</v>
      </c>
      <c r="B25" s="8">
        <v>0</v>
      </c>
      <c r="C25" s="14">
        <f>B11</f>
        <v>1700000000</v>
      </c>
      <c r="D25" s="14">
        <f>C29</f>
        <v>1643712500</v>
      </c>
      <c r="E25" s="14">
        <f>D29</f>
        <v>1576987807.8125</v>
      </c>
      <c r="F25" s="14">
        <f>E29</f>
        <v>1498813110.9095702</v>
      </c>
      <c r="G25" s="14">
        <f>F29</f>
        <v>1408175026.7666385</v>
      </c>
      <c r="H25" s="14">
        <f>G29</f>
        <v>1303986534.9604309</v>
      </c>
    </row>
    <row r="26" spans="1:8" x14ac:dyDescent="1.4">
      <c r="A26" t="s">
        <v>111</v>
      </c>
      <c r="B26" s="3">
        <v>0</v>
      </c>
      <c r="C26" s="14">
        <f>-C25*Assumptions!$B$48</f>
        <v>-161925000</v>
      </c>
      <c r="D26" s="14">
        <f>-D25*Assumptions!$B$48</f>
        <v>-156563615.625</v>
      </c>
      <c r="E26" s="14">
        <f>-E25*Assumptions!$B$48</f>
        <v>-150208088.69414061</v>
      </c>
      <c r="F26" s="14">
        <f>-F25*Assumptions!$B$48</f>
        <v>-142761948.81413656</v>
      </c>
      <c r="G26" s="14">
        <f>-G25*Assumptions!$B$48</f>
        <v>-134128671.29952233</v>
      </c>
      <c r="H26" s="14">
        <f>-H25*Assumptions!$B$48</f>
        <v>-124204717.45498104</v>
      </c>
    </row>
    <row r="27" spans="1:8" x14ac:dyDescent="1.4">
      <c r="A27" t="s">
        <v>112</v>
      </c>
      <c r="B27" s="3">
        <v>0</v>
      </c>
      <c r="C27" s="6">
        <f>-$B$11*Assumptions!$B$49</f>
        <v>-17000000</v>
      </c>
      <c r="D27" s="6">
        <f>-$B$11*Assumptions!$B$49</f>
        <v>-17000000</v>
      </c>
      <c r="E27" s="6">
        <f>-$B$11*Assumptions!$B$49</f>
        <v>-17000000</v>
      </c>
      <c r="F27" s="6">
        <f>-$B$11*Assumptions!$B$49</f>
        <v>-17000000</v>
      </c>
      <c r="G27" s="6">
        <f>-$B$11*Assumptions!$B$49</f>
        <v>-17000000</v>
      </c>
      <c r="H27" s="6">
        <f>-$B$11*Assumptions!$B$49</f>
        <v>-17000000</v>
      </c>
    </row>
    <row r="28" spans="1:8" x14ac:dyDescent="1.4">
      <c r="A28" t="s">
        <v>113</v>
      </c>
      <c r="B28" s="3">
        <v>0</v>
      </c>
      <c r="C28" s="14">
        <f>-MIN(MAX(0,('Operating Model'!C26+C26+C27)*0.5), C25+C27)</f>
        <v>-39287500</v>
      </c>
      <c r="D28" s="14">
        <f>-MIN(MAX(0,('Operating Model'!D26+D26+D27)*0.5), D25+D27)</f>
        <v>-49724692.1875</v>
      </c>
      <c r="E28" s="14">
        <f>-MIN(MAX(0,('Operating Model'!E26+E26+E27)*0.5), E25+E27)</f>
        <v>-61174696.902929693</v>
      </c>
      <c r="F28" s="14">
        <f>-MIN(MAX(0,('Operating Model'!F26+F26+F27)*0.5), F25+F27)</f>
        <v>-73638084.14293167</v>
      </c>
      <c r="G28" s="14">
        <f>-MIN(MAX(0,('Operating Model'!G26+G26+G27)*0.5), G25+G27)</f>
        <v>-87188491.806207567</v>
      </c>
      <c r="H28" s="14">
        <f>-MIN(MAX(0,('Operating Model'!H26+H26+H27)*0.5), H25+H27)</f>
        <v>-101904400.74242043</v>
      </c>
    </row>
    <row r="29" spans="1:8" x14ac:dyDescent="1.4">
      <c r="A29" t="s">
        <v>114</v>
      </c>
      <c r="B29" s="3">
        <v>0</v>
      </c>
      <c r="C29" s="14">
        <f>C25+C27+C28</f>
        <v>1643712500</v>
      </c>
      <c r="D29" s="14">
        <f>D25+D27+D28</f>
        <v>1576987807.8125</v>
      </c>
      <c r="E29" s="14">
        <f t="shared" ref="E29:H29" si="0">E25+E27+E28</f>
        <v>1498813110.9095702</v>
      </c>
      <c r="F29" s="14">
        <f t="shared" si="0"/>
        <v>1408175026.7666385</v>
      </c>
      <c r="G29" s="14">
        <f t="shared" si="0"/>
        <v>1303986534.9604309</v>
      </c>
      <c r="H29" s="14">
        <f t="shared" si="0"/>
        <v>1185082134.2180104</v>
      </c>
    </row>
    <row r="31" spans="1:8" x14ac:dyDescent="1.4">
      <c r="A31" t="s">
        <v>115</v>
      </c>
      <c r="B31" s="3">
        <v>0</v>
      </c>
      <c r="C31" s="14">
        <f>C26+C27+C28</f>
        <v>-218212500</v>
      </c>
      <c r="D31" s="14">
        <f t="shared" ref="D31:H31" si="1">D26+D27+D28</f>
        <v>-223288307.8125</v>
      </c>
      <c r="E31" s="14">
        <f t="shared" si="1"/>
        <v>-228382785.59707031</v>
      </c>
      <c r="F31" s="14">
        <f t="shared" si="1"/>
        <v>-233400032.95706823</v>
      </c>
      <c r="G31" s="14">
        <f t="shared" si="1"/>
        <v>-238317163.10572991</v>
      </c>
      <c r="H31" s="14">
        <f t="shared" si="1"/>
        <v>-243109118.19740146</v>
      </c>
    </row>
    <row r="32" spans="1:8" x14ac:dyDescent="1.4">
      <c r="A32" t="s">
        <v>116</v>
      </c>
      <c r="B32" s="12">
        <f>B11/Assumptions!B16</f>
        <v>4.8571428571428568</v>
      </c>
      <c r="C32" s="12">
        <f>C29/'Operating Model'!C13</f>
        <v>4.4678241369937481</v>
      </c>
      <c r="D32" s="12">
        <f>D29/'Operating Model'!D13</f>
        <v>4.0588468045342587</v>
      </c>
      <c r="E32" s="12">
        <f>E29/'Operating Model'!E13</f>
        <v>3.6532021745200072</v>
      </c>
      <c r="F32" s="12">
        <f>F29/'Operating Model'!F13</f>
        <v>3.2507349680467237</v>
      </c>
      <c r="G32" s="12">
        <f>G29/'Operating Model'!G13</f>
        <v>2.8512977856163735</v>
      </c>
      <c r="H32" s="12">
        <f>H29/'Operating Model'!H13</f>
        <v>2.4547506422109096</v>
      </c>
    </row>
    <row r="34" spans="1:8" x14ac:dyDescent="1.4">
      <c r="A34" t="s">
        <v>117</v>
      </c>
    </row>
    <row r="35" spans="1:8" x14ac:dyDescent="1.4">
      <c r="A35" t="s">
        <v>81</v>
      </c>
      <c r="B35">
        <v>0</v>
      </c>
      <c r="C35" s="8">
        <f>'Operating Model'!C13</f>
        <v>367900000</v>
      </c>
      <c r="D35" s="8">
        <f>'Operating Model'!D13</f>
        <v>388531000</v>
      </c>
      <c r="E35" s="8">
        <f>'Operating Model'!E13</f>
        <v>410273792.5</v>
      </c>
      <c r="F35" s="8">
        <f>'Operating Model'!F13</f>
        <v>433186661.04999995</v>
      </c>
      <c r="G35" s="8">
        <f>'Operating Model'!G13</f>
        <v>457330883.33968747</v>
      </c>
      <c r="H35" s="8">
        <f>'Operating Model'!H13</f>
        <v>482770882.64682055</v>
      </c>
    </row>
    <row r="36" spans="1:8" x14ac:dyDescent="1.4">
      <c r="A36" t="s">
        <v>118</v>
      </c>
      <c r="B36">
        <v>0</v>
      </c>
      <c r="C36" s="14">
        <f>-C26</f>
        <v>161925000</v>
      </c>
      <c r="D36" s="14">
        <f t="shared" ref="D36:H36" si="2">-D26</f>
        <v>156563615.625</v>
      </c>
      <c r="E36" s="14">
        <f t="shared" si="2"/>
        <v>150208088.69414061</v>
      </c>
      <c r="F36" s="14">
        <f t="shared" si="2"/>
        <v>142761948.81413656</v>
      </c>
      <c r="G36" s="14">
        <f t="shared" si="2"/>
        <v>134128671.29952233</v>
      </c>
      <c r="H36" s="14">
        <f t="shared" si="2"/>
        <v>124204717.45498104</v>
      </c>
    </row>
    <row r="37" spans="1:8" x14ac:dyDescent="1.4">
      <c r="A37" t="s">
        <v>119</v>
      </c>
      <c r="B37">
        <v>0</v>
      </c>
      <c r="C37" s="12">
        <f>C35/C36</f>
        <v>2.2720395244712059</v>
      </c>
      <c r="D37" s="12">
        <f t="shared" ref="D37:H37" si="3">D35/D36</f>
        <v>2.4816174463587157</v>
      </c>
      <c r="E37" s="12">
        <f t="shared" si="3"/>
        <v>2.7313695025799509</v>
      </c>
      <c r="F37" s="12">
        <f t="shared" si="3"/>
        <v>3.0343285773856357</v>
      </c>
      <c r="G37" s="12">
        <f t="shared" si="3"/>
        <v>3.4096429861623192</v>
      </c>
      <c r="H37" s="12">
        <f t="shared" si="3"/>
        <v>3.8868965087562359</v>
      </c>
    </row>
    <row r="38" spans="1:8" x14ac:dyDescent="1.4">
      <c r="A38" t="s">
        <v>120</v>
      </c>
      <c r="B38">
        <v>0</v>
      </c>
      <c r="C38" s="14">
        <f>C36-C27</f>
        <v>178925000</v>
      </c>
      <c r="D38" s="14">
        <f t="shared" ref="D38:H38" si="4">D36-D27</f>
        <v>173563615.625</v>
      </c>
      <c r="E38" s="14">
        <f t="shared" si="4"/>
        <v>167208088.69414061</v>
      </c>
      <c r="F38" s="14">
        <f t="shared" si="4"/>
        <v>159761948.81413656</v>
      </c>
      <c r="G38" s="14">
        <f t="shared" si="4"/>
        <v>151128671.29952234</v>
      </c>
      <c r="H38" s="14">
        <f t="shared" si="4"/>
        <v>141204717.45498103</v>
      </c>
    </row>
    <row r="39" spans="1:8" x14ac:dyDescent="1.4">
      <c r="A39" t="s">
        <v>121</v>
      </c>
      <c r="B39">
        <v>0</v>
      </c>
      <c r="C39" s="12">
        <f>C35/C38</f>
        <v>2.056168785804108</v>
      </c>
      <c r="D39" s="12">
        <f t="shared" ref="D39:H39" si="5">D35/D38</f>
        <v>2.2385509693428869</v>
      </c>
      <c r="E39" s="12">
        <f t="shared" si="5"/>
        <v>2.453671922836691</v>
      </c>
      <c r="F39" s="12">
        <f t="shared" si="5"/>
        <v>2.7114507820254468</v>
      </c>
      <c r="G39" s="12">
        <f t="shared" si="5"/>
        <v>3.0261027203322794</v>
      </c>
      <c r="H39" s="12">
        <f t="shared" si="5"/>
        <v>3.4189430165513972</v>
      </c>
    </row>
    <row r="41" spans="1:8" x14ac:dyDescent="1.4">
      <c r="A41" t="s">
        <v>122</v>
      </c>
    </row>
    <row r="42" spans="1:8" x14ac:dyDescent="1.4">
      <c r="A42" t="s">
        <v>123</v>
      </c>
      <c r="B42" s="14">
        <f>H29</f>
        <v>1185082134.2180104</v>
      </c>
    </row>
    <row r="43" spans="1:8" x14ac:dyDescent="1.4">
      <c r="A43" t="s">
        <v>124</v>
      </c>
      <c r="B43" s="14">
        <f>C25-B42</f>
        <v>514917865.78198957</v>
      </c>
    </row>
    <row r="44" spans="1:8" x14ac:dyDescent="1.4">
      <c r="A44" t="s">
        <v>125</v>
      </c>
      <c r="B44" s="5">
        <f>B43/B42</f>
        <v>0.43449972868063175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18484-DCF7-46A6-A196-3FC192AE1013}">
  <dimension ref="A1:H45"/>
  <sheetViews>
    <sheetView topLeftCell="A41" zoomScale="46" workbookViewId="0">
      <selection activeCell="A47" sqref="A47"/>
    </sheetView>
  </sheetViews>
  <sheetFormatPr defaultRowHeight="46.9" x14ac:dyDescent="1.4"/>
  <cols>
    <col min="1" max="1" width="34.32421875" bestFit="1" customWidth="1"/>
    <col min="2" max="2" width="17.8125" bestFit="1" customWidth="1"/>
    <col min="3" max="7" width="15.65234375" bestFit="1" customWidth="1"/>
    <col min="8" max="8" width="17.2421875" bestFit="1" customWidth="1"/>
  </cols>
  <sheetData>
    <row r="1" spans="1:2" x14ac:dyDescent="1.4">
      <c r="A1" t="s">
        <v>126</v>
      </c>
    </row>
    <row r="3" spans="1:2" x14ac:dyDescent="1.4">
      <c r="A3" t="s">
        <v>127</v>
      </c>
    </row>
    <row r="5" spans="1:2" x14ac:dyDescent="1.4">
      <c r="A5" t="s">
        <v>128</v>
      </c>
      <c r="B5" s="14">
        <f>'Operating Model'!H13</f>
        <v>482770882.64682055</v>
      </c>
    </row>
    <row r="6" spans="1:2" x14ac:dyDescent="1.4">
      <c r="A6" t="s">
        <v>50</v>
      </c>
      <c r="B6">
        <f>Assumptions!B59</f>
        <v>7</v>
      </c>
    </row>
    <row r="7" spans="1:2" x14ac:dyDescent="1.4">
      <c r="A7" t="s">
        <v>129</v>
      </c>
      <c r="B7" s="14">
        <f>B5*B6</f>
        <v>3379396178.5277438</v>
      </c>
    </row>
    <row r="8" spans="1:2" x14ac:dyDescent="1.4">
      <c r="A8" t="s">
        <v>130</v>
      </c>
      <c r="B8" s="6">
        <f>-B7*Assumptions!B60</f>
        <v>-50690942.677916154</v>
      </c>
    </row>
    <row r="9" spans="1:2" x14ac:dyDescent="1.4">
      <c r="A9" t="s">
        <v>131</v>
      </c>
      <c r="B9" s="14">
        <f>B7+B8</f>
        <v>3328705235.8498278</v>
      </c>
    </row>
    <row r="10" spans="1:2" x14ac:dyDescent="1.4">
      <c r="A10" t="s">
        <v>132</v>
      </c>
      <c r="B10" s="6">
        <f>-'Sources &amp; Uses + Debt Schedule'!B42</f>
        <v>-1185082134.2180104</v>
      </c>
    </row>
    <row r="11" spans="1:2" x14ac:dyDescent="1.4">
      <c r="A11" t="s">
        <v>133</v>
      </c>
      <c r="B11" s="14">
        <f>B9+B10</f>
        <v>2143623101.6318173</v>
      </c>
    </row>
    <row r="13" spans="1:2" x14ac:dyDescent="1.4">
      <c r="A13" t="s">
        <v>134</v>
      </c>
      <c r="B13" s="14">
        <f>B7-Assumptions!B15</f>
        <v>779396178.52774382</v>
      </c>
    </row>
    <row r="14" spans="1:2" x14ac:dyDescent="1.4">
      <c r="A14" t="s">
        <v>135</v>
      </c>
      <c r="B14">
        <f>B7/Assumptions!B15</f>
        <v>1.2997677609722091</v>
      </c>
    </row>
    <row r="15" spans="1:2" x14ac:dyDescent="1.4">
      <c r="A15" t="s">
        <v>136</v>
      </c>
      <c r="B15" s="15" t="s">
        <v>137</v>
      </c>
    </row>
    <row r="17" spans="1:8" x14ac:dyDescent="1.4">
      <c r="A17" t="s">
        <v>138</v>
      </c>
    </row>
    <row r="19" spans="1:8" x14ac:dyDescent="1.4">
      <c r="B19" t="s">
        <v>139</v>
      </c>
      <c r="C19" t="s">
        <v>140</v>
      </c>
      <c r="D19" t="s">
        <v>141</v>
      </c>
      <c r="E19" t="s">
        <v>142</v>
      </c>
      <c r="F19" t="s">
        <v>143</v>
      </c>
      <c r="G19" t="s">
        <v>144</v>
      </c>
      <c r="H19" t="s">
        <v>145</v>
      </c>
    </row>
    <row r="20" spans="1:8" x14ac:dyDescent="1.4">
      <c r="A20" t="s">
        <v>146</v>
      </c>
      <c r="B20" s="14">
        <f>-'Sources &amp; Uses + Debt Schedule'!B8</f>
        <v>-2652000000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 x14ac:dyDescent="1.4">
      <c r="A21" t="s">
        <v>91</v>
      </c>
      <c r="B21">
        <v>0</v>
      </c>
      <c r="C21" s="14">
        <f>'Operating Model'!C26</f>
        <v>257500000</v>
      </c>
      <c r="D21" s="14">
        <f>'Operating Model'!D26</f>
        <v>273013000</v>
      </c>
      <c r="E21" s="14">
        <f>'Operating Model'!E26</f>
        <v>289557482.5</v>
      </c>
      <c r="F21" s="14">
        <f>'Operating Model'!F26</f>
        <v>307038117.0999999</v>
      </c>
      <c r="G21" s="14">
        <f>'Operating Model'!G26</f>
        <v>325505654.91193748</v>
      </c>
      <c r="H21" s="14">
        <f>'Operating Model'!H26</f>
        <v>345013518.9398219</v>
      </c>
    </row>
    <row r="22" spans="1:8" x14ac:dyDescent="1.4">
      <c r="A22" t="s">
        <v>147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 s="14">
        <f>B9</f>
        <v>3328705235.8498278</v>
      </c>
    </row>
    <row r="23" spans="1:8" x14ac:dyDescent="1.4">
      <c r="A23" t="s">
        <v>148</v>
      </c>
      <c r="B23" s="14">
        <f>B20+B21+B22</f>
        <v>-2652000000</v>
      </c>
      <c r="C23" s="14">
        <f t="shared" ref="C23:H23" si="0">C20+C21+C22</f>
        <v>257500000</v>
      </c>
      <c r="D23" s="14">
        <f t="shared" si="0"/>
        <v>273013000</v>
      </c>
      <c r="E23" s="14">
        <f t="shared" si="0"/>
        <v>289557482.5</v>
      </c>
      <c r="F23" s="14">
        <f t="shared" si="0"/>
        <v>307038117.0999999</v>
      </c>
      <c r="G23" s="14">
        <f t="shared" si="0"/>
        <v>325505654.91193748</v>
      </c>
      <c r="H23" s="14">
        <f t="shared" si="0"/>
        <v>3673718754.7896495</v>
      </c>
    </row>
    <row r="24" spans="1:8" x14ac:dyDescent="1.4">
      <c r="B24" s="17"/>
    </row>
    <row r="25" spans="1:8" x14ac:dyDescent="1.4">
      <c r="A25" t="s">
        <v>149</v>
      </c>
      <c r="B25" s="16">
        <f>IRR(B23:H23)</f>
        <v>0.140350003589506</v>
      </c>
    </row>
    <row r="26" spans="1:8" x14ac:dyDescent="1.4">
      <c r="A26" t="s">
        <v>150</v>
      </c>
      <c r="B26" s="12">
        <f>SUM(C23:H23)/(-B23)</f>
        <v>1.9330064137637961</v>
      </c>
    </row>
    <row r="27" spans="1:8" x14ac:dyDescent="1.4">
      <c r="A27" t="s">
        <v>151</v>
      </c>
      <c r="B27" s="14">
        <f>SUM(C23:H23)</f>
        <v>5126333009.3015871</v>
      </c>
    </row>
    <row r="28" spans="1:8" x14ac:dyDescent="1.4">
      <c r="A28" t="s">
        <v>152</v>
      </c>
      <c r="B28" s="14">
        <f>-B23</f>
        <v>2652000000</v>
      </c>
    </row>
    <row r="30" spans="1:8" x14ac:dyDescent="1.4">
      <c r="A30" t="s">
        <v>153</v>
      </c>
    </row>
    <row r="32" spans="1:8" x14ac:dyDescent="1.4">
      <c r="B32" t="s">
        <v>139</v>
      </c>
      <c r="C32" t="s">
        <v>140</v>
      </c>
      <c r="D32" t="s">
        <v>141</v>
      </c>
      <c r="E32" t="s">
        <v>142</v>
      </c>
      <c r="F32" t="s">
        <v>143</v>
      </c>
      <c r="G32" t="s">
        <v>144</v>
      </c>
      <c r="H32" t="s">
        <v>145</v>
      </c>
    </row>
    <row r="33" spans="1:8" x14ac:dyDescent="1.4">
      <c r="A33" t="s">
        <v>154</v>
      </c>
      <c r="B33" s="8">
        <f>-'Sources &amp; Uses + Debt Schedule'!B12</f>
        <v>-952000000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</row>
    <row r="34" spans="1:8" x14ac:dyDescent="1.4">
      <c r="A34" t="s">
        <v>91</v>
      </c>
      <c r="B34" s="3">
        <v>0</v>
      </c>
      <c r="C34" s="14">
        <f>'Operating Model'!C26</f>
        <v>257500000</v>
      </c>
      <c r="D34" s="14">
        <f>'Operating Model'!D26</f>
        <v>273013000</v>
      </c>
      <c r="E34" s="14">
        <f>'Operating Model'!E26</f>
        <v>289557482.5</v>
      </c>
      <c r="F34" s="14">
        <f>'Operating Model'!F26</f>
        <v>307038117.0999999</v>
      </c>
      <c r="G34" s="14">
        <f>'Operating Model'!G26</f>
        <v>325505654.91193748</v>
      </c>
      <c r="H34" s="14">
        <f>'Operating Model'!H26</f>
        <v>345013518.9398219</v>
      </c>
    </row>
    <row r="35" spans="1:8" x14ac:dyDescent="1.4">
      <c r="A35" t="s">
        <v>111</v>
      </c>
      <c r="B35" s="3">
        <v>0</v>
      </c>
      <c r="C35" s="6">
        <f>'Sources &amp; Uses + Debt Schedule'!C26</f>
        <v>-161925000</v>
      </c>
      <c r="D35" s="6">
        <f>'Sources &amp; Uses + Debt Schedule'!D26</f>
        <v>-156563615.625</v>
      </c>
      <c r="E35" s="6">
        <f>'Sources &amp; Uses + Debt Schedule'!E26</f>
        <v>-150208088.69414061</v>
      </c>
      <c r="F35" s="6">
        <f>'Sources &amp; Uses + Debt Schedule'!F26</f>
        <v>-142761948.81413656</v>
      </c>
      <c r="G35" s="6">
        <f>'Sources &amp; Uses + Debt Schedule'!G26</f>
        <v>-134128671.29952233</v>
      </c>
      <c r="H35" s="6">
        <f>'Sources &amp; Uses + Debt Schedule'!H26</f>
        <v>-124204717.45498104</v>
      </c>
    </row>
    <row r="36" spans="1:8" x14ac:dyDescent="1.4">
      <c r="A36" t="s">
        <v>112</v>
      </c>
      <c r="B36" s="3">
        <v>0</v>
      </c>
      <c r="C36" s="6">
        <f>'Sources &amp; Uses + Debt Schedule'!C27</f>
        <v>-17000000</v>
      </c>
      <c r="D36" s="6">
        <f>'Sources &amp; Uses + Debt Schedule'!D27</f>
        <v>-17000000</v>
      </c>
      <c r="E36" s="6">
        <f>'Sources &amp; Uses + Debt Schedule'!E27</f>
        <v>-17000000</v>
      </c>
      <c r="F36" s="6">
        <f>'Sources &amp; Uses + Debt Schedule'!F27</f>
        <v>-17000000</v>
      </c>
      <c r="G36" s="6">
        <f>'Sources &amp; Uses + Debt Schedule'!G27</f>
        <v>-17000000</v>
      </c>
      <c r="H36" s="6">
        <f>'Sources &amp; Uses + Debt Schedule'!H27</f>
        <v>-17000000</v>
      </c>
    </row>
    <row r="37" spans="1:8" x14ac:dyDescent="1.4">
      <c r="A37" t="s">
        <v>155</v>
      </c>
      <c r="B37" s="3">
        <v>0</v>
      </c>
      <c r="C37" s="6">
        <f>'Sources &amp; Uses + Debt Schedule'!C28</f>
        <v>-39287500</v>
      </c>
      <c r="D37" s="6">
        <f>'Sources &amp; Uses + Debt Schedule'!D28</f>
        <v>-49724692.1875</v>
      </c>
      <c r="E37" s="6">
        <f>'Sources &amp; Uses + Debt Schedule'!E28</f>
        <v>-61174696.902929693</v>
      </c>
      <c r="F37" s="6">
        <f>'Sources &amp; Uses + Debt Schedule'!F28</f>
        <v>-73638084.14293167</v>
      </c>
      <c r="G37" s="6">
        <f>'Sources &amp; Uses + Debt Schedule'!G28</f>
        <v>-87188491.806207567</v>
      </c>
      <c r="H37" s="6">
        <f>'Sources &amp; Uses + Debt Schedule'!H28</f>
        <v>-101904400.74242043</v>
      </c>
    </row>
    <row r="38" spans="1:8" x14ac:dyDescent="1.4">
      <c r="A38" t="s">
        <v>156</v>
      </c>
      <c r="B38" s="3">
        <v>0</v>
      </c>
      <c r="C38" s="14">
        <f>C34+C35+C36+C37</f>
        <v>39287500</v>
      </c>
      <c r="D38" s="14">
        <f t="shared" ref="D38:H38" si="1">D34+D35+D36+D37</f>
        <v>49724692.1875</v>
      </c>
      <c r="E38" s="14">
        <f t="shared" si="1"/>
        <v>61174696.902929693</v>
      </c>
      <c r="F38" s="14">
        <f t="shared" si="1"/>
        <v>73638084.14293167</v>
      </c>
      <c r="G38" s="14">
        <f t="shared" si="1"/>
        <v>87188491.806207567</v>
      </c>
      <c r="H38" s="14">
        <f t="shared" si="1"/>
        <v>101904400.74242043</v>
      </c>
    </row>
    <row r="39" spans="1:8" x14ac:dyDescent="1.4">
      <c r="A39" t="s">
        <v>157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8">
        <f>B11</f>
        <v>2143623101.6318173</v>
      </c>
    </row>
    <row r="40" spans="1:8" x14ac:dyDescent="1.4">
      <c r="A40" t="s">
        <v>158</v>
      </c>
      <c r="B40" s="14">
        <f>B33+B38+B39</f>
        <v>-952000000</v>
      </c>
      <c r="C40" s="14">
        <f t="shared" ref="C40:H40" si="2">C33+C38+C39</f>
        <v>39287500</v>
      </c>
      <c r="D40" s="14">
        <f t="shared" si="2"/>
        <v>49724692.1875</v>
      </c>
      <c r="E40" s="14">
        <f t="shared" si="2"/>
        <v>61174696.902929693</v>
      </c>
      <c r="F40" s="14">
        <f t="shared" si="2"/>
        <v>73638084.14293167</v>
      </c>
      <c r="G40" s="14">
        <f t="shared" si="2"/>
        <v>87188491.806207567</v>
      </c>
      <c r="H40" s="14">
        <f t="shared" si="2"/>
        <v>2245527502.374238</v>
      </c>
    </row>
    <row r="42" spans="1:8" x14ac:dyDescent="1.4">
      <c r="A42" t="s">
        <v>159</v>
      </c>
      <c r="B42" s="16">
        <f>IRR(B40:H40)</f>
        <v>0.19373874819542847</v>
      </c>
    </row>
    <row r="43" spans="1:8" x14ac:dyDescent="1.4">
      <c r="A43" t="s">
        <v>160</v>
      </c>
      <c r="B43" s="12">
        <f>SUM(C40:H40)/(-B40)</f>
        <v>2.6854421926615619</v>
      </c>
    </row>
    <row r="44" spans="1:8" x14ac:dyDescent="1.4">
      <c r="A44" t="s">
        <v>161</v>
      </c>
      <c r="B44" s="14">
        <f>SUM(C40:H40)</f>
        <v>2556540967.4138069</v>
      </c>
    </row>
    <row r="45" spans="1:8" x14ac:dyDescent="1.4">
      <c r="A45" t="s">
        <v>162</v>
      </c>
      <c r="B45" s="14">
        <f>-B40</f>
        <v>952000000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C8E52-40CE-44DF-BEAF-C9017E521997}">
  <dimension ref="A1:B35"/>
  <sheetViews>
    <sheetView topLeftCell="A9" zoomScale="43" workbookViewId="0">
      <selection activeCell="A35" sqref="A35"/>
    </sheetView>
  </sheetViews>
  <sheetFormatPr defaultRowHeight="46.9" x14ac:dyDescent="1.4"/>
  <cols>
    <col min="1" max="1" width="62.01953125" bestFit="1" customWidth="1"/>
    <col min="2" max="2" width="16.85546875" bestFit="1" customWidth="1"/>
  </cols>
  <sheetData>
    <row r="1" spans="1:2" x14ac:dyDescent="1.4">
      <c r="A1" t="s">
        <v>163</v>
      </c>
    </row>
    <row r="3" spans="1:2" x14ac:dyDescent="1.4">
      <c r="A3" t="s">
        <v>164</v>
      </c>
    </row>
    <row r="4" spans="1:2" x14ac:dyDescent="1.4">
      <c r="A4" t="s">
        <v>165</v>
      </c>
      <c r="B4" s="14">
        <f>Assumptions!B15</f>
        <v>2600000000</v>
      </c>
    </row>
    <row r="5" spans="1:2" x14ac:dyDescent="1.4">
      <c r="A5" t="s">
        <v>166</v>
      </c>
      <c r="B5" s="14">
        <f>Assumptions!B16</f>
        <v>350000000</v>
      </c>
    </row>
    <row r="6" spans="1:2" x14ac:dyDescent="1.4">
      <c r="A6" t="s">
        <v>14</v>
      </c>
      <c r="B6">
        <f>B4/B5</f>
        <v>7.4285714285714288</v>
      </c>
    </row>
    <row r="7" spans="1:2" x14ac:dyDescent="1.4">
      <c r="A7" t="s">
        <v>167</v>
      </c>
      <c r="B7" s="14">
        <f>Assumptions!B38</f>
        <v>1700000000</v>
      </c>
    </row>
    <row r="8" spans="1:2" x14ac:dyDescent="1.4">
      <c r="A8" t="s">
        <v>168</v>
      </c>
      <c r="B8" s="14">
        <f>B4-B7</f>
        <v>900000000</v>
      </c>
    </row>
    <row r="10" spans="1:2" x14ac:dyDescent="1.4">
      <c r="A10" t="s">
        <v>169</v>
      </c>
    </row>
    <row r="11" spans="1:2" x14ac:dyDescent="1.4">
      <c r="A11" t="s">
        <v>170</v>
      </c>
      <c r="B11" s="6">
        <f>Returns!B7</f>
        <v>3379396178.5277438</v>
      </c>
    </row>
    <row r="12" spans="1:2" x14ac:dyDescent="1.4">
      <c r="A12" t="s">
        <v>171</v>
      </c>
      <c r="B12" s="14">
        <f>'Operating Model'!H13</f>
        <v>482770882.64682055</v>
      </c>
    </row>
    <row r="13" spans="1:2" x14ac:dyDescent="1.4">
      <c r="A13" t="s">
        <v>50</v>
      </c>
      <c r="B13">
        <f>Assumptions!B59</f>
        <v>7</v>
      </c>
    </row>
    <row r="14" spans="1:2" x14ac:dyDescent="1.4">
      <c r="A14" t="s">
        <v>172</v>
      </c>
      <c r="B14" s="6">
        <f>'Sources &amp; Uses + Debt Schedule'!B42</f>
        <v>1185082134.2180104</v>
      </c>
    </row>
    <row r="15" spans="1:2" x14ac:dyDescent="1.4">
      <c r="A15" t="s">
        <v>173</v>
      </c>
      <c r="B15" s="6">
        <f>Returns!B8</f>
        <v>-50690942.677916154</v>
      </c>
    </row>
    <row r="16" spans="1:2" x14ac:dyDescent="1.4">
      <c r="A16" t="s">
        <v>174</v>
      </c>
      <c r="B16" s="14">
        <f>B11-B14+B15</f>
        <v>2143623101.6318173</v>
      </c>
    </row>
    <row r="17" spans="1:2" x14ac:dyDescent="1.4">
      <c r="A17" t="s">
        <v>175</v>
      </c>
      <c r="B17" s="8">
        <f>-Assumptions!B22</f>
        <v>-52000000</v>
      </c>
    </row>
    <row r="19" spans="1:2" x14ac:dyDescent="1.4">
      <c r="A19" t="s">
        <v>176</v>
      </c>
    </row>
    <row r="21" spans="1:2" x14ac:dyDescent="1.4">
      <c r="A21" t="s">
        <v>177</v>
      </c>
      <c r="B21" s="14">
        <f>B8</f>
        <v>900000000</v>
      </c>
    </row>
    <row r="22" spans="1:2" x14ac:dyDescent="1.4">
      <c r="A22" t="s">
        <v>178</v>
      </c>
      <c r="B22" s="14">
        <f>(B12-B5)*B13</f>
        <v>929396178.52774382</v>
      </c>
    </row>
    <row r="23" spans="1:2" x14ac:dyDescent="1.4">
      <c r="A23" t="s">
        <v>179</v>
      </c>
      <c r="B23" s="14">
        <f>B5*(B13-B6)</f>
        <v>-150000000.00000009</v>
      </c>
    </row>
    <row r="24" spans="1:2" x14ac:dyDescent="1.4">
      <c r="A24" t="s">
        <v>180</v>
      </c>
      <c r="B24" s="14">
        <f>B7-B14</f>
        <v>514917865.78198957</v>
      </c>
    </row>
    <row r="25" spans="1:2" x14ac:dyDescent="1.4">
      <c r="A25" t="s">
        <v>181</v>
      </c>
      <c r="B25" s="14">
        <f>B21+B22+B23+B24</f>
        <v>2194314044.3097334</v>
      </c>
    </row>
    <row r="26" spans="1:2" x14ac:dyDescent="1.4">
      <c r="A26" t="s">
        <v>182</v>
      </c>
      <c r="B26" s="14">
        <f>B15</f>
        <v>-50690942.677916154</v>
      </c>
    </row>
    <row r="27" spans="1:2" x14ac:dyDescent="1.4">
      <c r="A27" t="s">
        <v>183</v>
      </c>
      <c r="B27" s="14">
        <f>+B25+B26</f>
        <v>2143623101.6318173</v>
      </c>
    </row>
    <row r="29" spans="1:2" x14ac:dyDescent="1.4">
      <c r="A29" t="s">
        <v>184</v>
      </c>
    </row>
    <row r="30" spans="1:2" x14ac:dyDescent="1.4">
      <c r="B30" s="14">
        <f>B27-B16</f>
        <v>0</v>
      </c>
    </row>
    <row r="31" spans="1:2" x14ac:dyDescent="1.4">
      <c r="A31" t="s">
        <v>185</v>
      </c>
    </row>
    <row r="32" spans="1:2" x14ac:dyDescent="1.4">
      <c r="A32" t="s">
        <v>189</v>
      </c>
      <c r="B32" s="17">
        <f>B22/(B22+B23+B24)</f>
        <v>0.71806080032407993</v>
      </c>
    </row>
    <row r="33" spans="1:2" x14ac:dyDescent="1.4">
      <c r="A33" t="s">
        <v>186</v>
      </c>
      <c r="B33" s="7">
        <f>B23/(B22+B23+B24)</f>
        <v>-0.11589150303935404</v>
      </c>
    </row>
    <row r="34" spans="1:2" x14ac:dyDescent="1.4">
      <c r="A34" t="s">
        <v>187</v>
      </c>
      <c r="B34" s="7">
        <f>B24/(B22+B23+B24)</f>
        <v>0.39783070271527404</v>
      </c>
    </row>
    <row r="35" spans="1:2" x14ac:dyDescent="1.4">
      <c r="A35" t="s">
        <v>188</v>
      </c>
      <c r="B35" s="17">
        <f>B32+B33+B34</f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4634-7950-4BF9-A40F-58B60D77F975}">
  <dimension ref="A1:B59"/>
  <sheetViews>
    <sheetView tabSelected="1" topLeftCell="A48" zoomScale="49" workbookViewId="0">
      <selection activeCell="B60" sqref="B60"/>
    </sheetView>
  </sheetViews>
  <sheetFormatPr defaultRowHeight="46.9" x14ac:dyDescent="1.4"/>
  <cols>
    <col min="1" max="1" width="36.55078125" bestFit="1" customWidth="1"/>
    <col min="2" max="2" width="22.32421875" bestFit="1" customWidth="1"/>
  </cols>
  <sheetData>
    <row r="1" spans="1:2" x14ac:dyDescent="1.4">
      <c r="A1" t="s">
        <v>190</v>
      </c>
    </row>
    <row r="3" spans="1:2" x14ac:dyDescent="1.4">
      <c r="A3" t="s">
        <v>3</v>
      </c>
    </row>
    <row r="4" spans="1:2" x14ac:dyDescent="1.4">
      <c r="A4" t="s">
        <v>191</v>
      </c>
      <c r="B4" t="str">
        <f>Assumptions!B6</f>
        <v>Invited Clubs</v>
      </c>
    </row>
    <row r="5" spans="1:2" x14ac:dyDescent="1.4">
      <c r="A5" t="s">
        <v>5</v>
      </c>
      <c r="B5" t="str">
        <f>Assumptions!B7</f>
        <v>Private Club Operator (Golf)</v>
      </c>
    </row>
    <row r="6" spans="1:2" x14ac:dyDescent="1.4">
      <c r="A6" t="s">
        <v>192</v>
      </c>
      <c r="B6" t="str">
        <f>Assumptions!B8</f>
        <v>Dallas, TX</v>
      </c>
    </row>
    <row r="7" spans="1:2" x14ac:dyDescent="1.4">
      <c r="A7" t="s">
        <v>7</v>
      </c>
      <c r="B7" t="str">
        <f>Assumptions!B9</f>
        <v>David Pillsbury</v>
      </c>
    </row>
    <row r="8" spans="1:2" x14ac:dyDescent="1.4">
      <c r="A8" t="s">
        <v>8</v>
      </c>
      <c r="B8" s="18">
        <f>Assumptions!B10</f>
        <v>150</v>
      </c>
    </row>
    <row r="9" spans="1:2" x14ac:dyDescent="1.4">
      <c r="A9" t="s">
        <v>9</v>
      </c>
      <c r="B9" s="18">
        <f>Assumptions!B11</f>
        <v>430000</v>
      </c>
    </row>
    <row r="10" spans="1:2" x14ac:dyDescent="1.4">
      <c r="A10" t="s">
        <v>10</v>
      </c>
      <c r="B10" s="18">
        <f>Assumptions!B12</f>
        <v>20000</v>
      </c>
    </row>
    <row r="12" spans="1:2" x14ac:dyDescent="1.4">
      <c r="A12" t="s">
        <v>193</v>
      </c>
    </row>
    <row r="13" spans="1:2" x14ac:dyDescent="1.4">
      <c r="A13" t="s">
        <v>12</v>
      </c>
      <c r="B13" s="8">
        <f>Assumptions!B15</f>
        <v>2600000000</v>
      </c>
    </row>
    <row r="14" spans="1:2" x14ac:dyDescent="1.4">
      <c r="A14" t="s">
        <v>13</v>
      </c>
      <c r="B14" s="8">
        <f>Assumptions!B16</f>
        <v>350000000</v>
      </c>
    </row>
    <row r="15" spans="1:2" x14ac:dyDescent="1.4">
      <c r="A15" t="s">
        <v>14</v>
      </c>
      <c r="B15" s="8">
        <f>Assumptions!B17</f>
        <v>7.4285714285714288</v>
      </c>
    </row>
    <row r="16" spans="1:2" x14ac:dyDescent="1.4">
      <c r="A16" t="s">
        <v>15</v>
      </c>
      <c r="B16" s="8">
        <f>Assumptions!B18</f>
        <v>46204</v>
      </c>
    </row>
    <row r="17" spans="1:2" x14ac:dyDescent="1.4">
      <c r="A17" t="s">
        <v>16</v>
      </c>
      <c r="B17" s="8" t="str">
        <f>Assumptions!B19</f>
        <v>KSL Capital Partners</v>
      </c>
    </row>
    <row r="18" spans="1:2" x14ac:dyDescent="1.4">
      <c r="A18" t="s">
        <v>17</v>
      </c>
      <c r="B18" s="8" t="str">
        <f>Assumptions!B20</f>
        <v>Apollo Global Management</v>
      </c>
    </row>
    <row r="20" spans="1:2" x14ac:dyDescent="1.4">
      <c r="A20" t="s">
        <v>194</v>
      </c>
    </row>
    <row r="21" spans="1:2" x14ac:dyDescent="1.4">
      <c r="A21" t="s">
        <v>195</v>
      </c>
      <c r="B21" t="s">
        <v>197</v>
      </c>
    </row>
    <row r="22" spans="1:2" x14ac:dyDescent="1.4">
      <c r="A22" t="s">
        <v>49</v>
      </c>
      <c r="B22">
        <f>Assumptions!B58</f>
        <v>6</v>
      </c>
    </row>
    <row r="23" spans="1:2" x14ac:dyDescent="1.4">
      <c r="A23" t="s">
        <v>196</v>
      </c>
      <c r="B23" t="s">
        <v>198</v>
      </c>
    </row>
    <row r="25" spans="1:2" x14ac:dyDescent="1.4">
      <c r="A25" t="s">
        <v>31</v>
      </c>
    </row>
    <row r="26" spans="1:2" x14ac:dyDescent="1.4">
      <c r="A26" t="s">
        <v>99</v>
      </c>
      <c r="B26" s="8">
        <f>'Sources &amp; Uses + Debt Schedule'!B11</f>
        <v>1700000000</v>
      </c>
    </row>
    <row r="27" spans="1:2" x14ac:dyDescent="1.4">
      <c r="A27" t="s">
        <v>100</v>
      </c>
      <c r="B27" s="8">
        <f>'Sources &amp; Uses + Debt Schedule'!B12</f>
        <v>952000000</v>
      </c>
    </row>
    <row r="28" spans="1:2" x14ac:dyDescent="1.4">
      <c r="A28" t="s">
        <v>199</v>
      </c>
      <c r="B28" s="3">
        <f>B26+B27</f>
        <v>2652000000</v>
      </c>
    </row>
    <row r="29" spans="1:2" x14ac:dyDescent="1.4">
      <c r="A29" t="s">
        <v>34</v>
      </c>
      <c r="B29">
        <f>'Sources &amp; Uses + Debt Schedule'!B18</f>
        <v>0.98039215686274506</v>
      </c>
    </row>
    <row r="30" spans="1:2" x14ac:dyDescent="1.4">
      <c r="A30" t="s">
        <v>41</v>
      </c>
      <c r="B30" s="19">
        <f>Assumptions!B48</f>
        <v>9.5250000000000001E-2</v>
      </c>
    </row>
    <row r="32" spans="1:2" x14ac:dyDescent="1.4">
      <c r="A32" t="s">
        <v>200</v>
      </c>
    </row>
    <row r="33" spans="1:2" x14ac:dyDescent="1.4">
      <c r="A33" t="s">
        <v>149</v>
      </c>
      <c r="B33" s="16">
        <f>Returns!B25</f>
        <v>0.140350003589506</v>
      </c>
    </row>
    <row r="34" spans="1:2" x14ac:dyDescent="1.4">
      <c r="A34" t="s">
        <v>159</v>
      </c>
      <c r="B34" s="16">
        <f>Returns!B42</f>
        <v>0.19373874819542847</v>
      </c>
    </row>
    <row r="35" spans="1:2" x14ac:dyDescent="1.4">
      <c r="A35" t="s">
        <v>150</v>
      </c>
      <c r="B35" s="12">
        <f>Returns!B26</f>
        <v>1.9330064137637961</v>
      </c>
    </row>
    <row r="36" spans="1:2" x14ac:dyDescent="1.4">
      <c r="A36" t="s">
        <v>160</v>
      </c>
      <c r="B36" s="12">
        <f>Returns!B43</f>
        <v>2.6854421926615619</v>
      </c>
    </row>
    <row r="38" spans="1:2" x14ac:dyDescent="1.4">
      <c r="A38" t="s">
        <v>201</v>
      </c>
    </row>
    <row r="39" spans="1:2" x14ac:dyDescent="1.4">
      <c r="A39" t="s">
        <v>202</v>
      </c>
      <c r="B39">
        <f>Returns!B5</f>
        <v>482770882.64682055</v>
      </c>
    </row>
    <row r="40" spans="1:2" x14ac:dyDescent="1.4">
      <c r="A40" t="s">
        <v>50</v>
      </c>
      <c r="B40">
        <f>Returns!B6</f>
        <v>7</v>
      </c>
    </row>
    <row r="41" spans="1:2" x14ac:dyDescent="1.4">
      <c r="A41" t="s">
        <v>129</v>
      </c>
      <c r="B41">
        <f>Returns!B7</f>
        <v>3379396178.5277438</v>
      </c>
    </row>
    <row r="42" spans="1:2" x14ac:dyDescent="1.4">
      <c r="A42" t="s">
        <v>133</v>
      </c>
      <c r="B42">
        <f>Returns!B11</f>
        <v>2143623101.6318173</v>
      </c>
    </row>
    <row r="43" spans="1:2" x14ac:dyDescent="1.4">
      <c r="A43" t="s">
        <v>203</v>
      </c>
      <c r="B43">
        <f>'Sources &amp; Uses + Debt Schedule'!B43</f>
        <v>514917865.78198957</v>
      </c>
    </row>
    <row r="44" spans="1:2" x14ac:dyDescent="1.4">
      <c r="A44" t="s">
        <v>204</v>
      </c>
      <c r="B44" s="12">
        <f>'Sources &amp; Uses + Debt Schedule'!H32</f>
        <v>2.4547506422109096</v>
      </c>
    </row>
    <row r="46" spans="1:2" x14ac:dyDescent="1.4">
      <c r="A46" t="s">
        <v>205</v>
      </c>
    </row>
    <row r="47" spans="1:2" x14ac:dyDescent="1.4">
      <c r="A47" t="s">
        <v>206</v>
      </c>
      <c r="B47" s="6">
        <f>'RETURNS BRIDGE'!B22</f>
        <v>929396178.52774382</v>
      </c>
    </row>
    <row r="48" spans="1:2" x14ac:dyDescent="1.4">
      <c r="A48" t="s">
        <v>207</v>
      </c>
      <c r="B48" s="6">
        <f>'RETURNS BRIDGE'!B23</f>
        <v>-150000000.00000009</v>
      </c>
    </row>
    <row r="49" spans="1:2" x14ac:dyDescent="1.4">
      <c r="A49" t="s">
        <v>208</v>
      </c>
      <c r="B49" s="6">
        <f>'RETURNS BRIDGE'!B24</f>
        <v>514917865.78198957</v>
      </c>
    </row>
    <row r="50" spans="1:2" x14ac:dyDescent="1.4">
      <c r="A50" t="s">
        <v>209</v>
      </c>
      <c r="B50" s="14">
        <f>B47+B48+B49</f>
        <v>1294314044.3097334</v>
      </c>
    </row>
    <row r="52" spans="1:2" x14ac:dyDescent="1.4">
      <c r="A52" t="s">
        <v>210</v>
      </c>
    </row>
    <row r="53" spans="1:2" x14ac:dyDescent="1.4">
      <c r="A53" t="s">
        <v>211</v>
      </c>
      <c r="B53" t="s">
        <v>218</v>
      </c>
    </row>
    <row r="54" spans="1:2" x14ac:dyDescent="1.4">
      <c r="A54" t="s">
        <v>212</v>
      </c>
      <c r="B54" t="s">
        <v>219</v>
      </c>
    </row>
    <row r="55" spans="1:2" x14ac:dyDescent="1.4">
      <c r="A55" t="s">
        <v>213</v>
      </c>
      <c r="B55" t="s">
        <v>220</v>
      </c>
    </row>
    <row r="56" spans="1:2" x14ac:dyDescent="1.4">
      <c r="A56" t="s">
        <v>214</v>
      </c>
      <c r="B56" t="s">
        <v>221</v>
      </c>
    </row>
    <row r="57" spans="1:2" x14ac:dyDescent="1.4">
      <c r="A57" t="s">
        <v>215</v>
      </c>
      <c r="B57" t="s">
        <v>222</v>
      </c>
    </row>
    <row r="58" spans="1:2" x14ac:dyDescent="1.4">
      <c r="A58" t="s">
        <v>216</v>
      </c>
      <c r="B58" t="s">
        <v>223</v>
      </c>
    </row>
    <row r="59" spans="1:2" x14ac:dyDescent="1.4">
      <c r="A59" t="s">
        <v>217</v>
      </c>
      <c r="B59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Assumptions</vt:lpstr>
      <vt:lpstr>Operating Model</vt:lpstr>
      <vt:lpstr>Sources &amp; Uses + Debt Schedule</vt:lpstr>
      <vt:lpstr>Returns</vt:lpstr>
      <vt:lpstr>RETURNS BRIDGE</vt:lpstr>
      <vt:lpstr>Investment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Niky Witt</dc:creator>
  <cp:lastModifiedBy>Niky Witt</cp:lastModifiedBy>
  <dcterms:created xsi:type="dcterms:W3CDTF">2026-10-02T05:15:09Z</dcterms:created>
  <dcterms:modified xsi:type="dcterms:W3CDTF">2026-10-19T23:25:38Z</dcterms:modified>
</cp:coreProperties>
</file>