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54be5b9a86eb7a54/CRE/Online Portfolio/real models/"/>
    </mc:Choice>
  </mc:AlternateContent>
  <xr:revisionPtr revIDLastSave="42" documentId="8_{093BA8AB-F9F2-492E-88F7-1C587BB06845}" xr6:coauthVersionLast="47" xr6:coauthVersionMax="47" xr10:uidLastSave="{83B485E6-F8F2-437E-AF91-ED66D975E6E6}"/>
  <bookViews>
    <workbookView xWindow="-98" yWindow="-98" windowWidth="21795" windowHeight="13875" firstSheet="4" activeTab="6" xr2:uid="{BD484F35-D2C0-4216-8039-9C246C11C7E5}"/>
  </bookViews>
  <sheets>
    <sheet name="Assumptions" sheetId="1" r:id="rId1"/>
    <sheet name="Operating Model" sheetId="2" r:id="rId2"/>
    <sheet name="CAPEX SCHEDULE" sheetId="3" r:id="rId3"/>
    <sheet name="Sources &amp; Uses + Debt Schedule" sheetId="4" r:id="rId4"/>
    <sheet name="Returns" sheetId="5" r:id="rId5"/>
    <sheet name="Returns Bridge" sheetId="6" r:id="rId6"/>
    <sheet name="Investment Summary"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0" i="2" l="1"/>
  <c r="E10" i="2"/>
  <c r="F10" i="2"/>
  <c r="G10" i="2"/>
  <c r="H10" i="2"/>
  <c r="C10" i="2"/>
  <c r="B7" i="2"/>
  <c r="B12" i="7"/>
  <c r="B18" i="7"/>
  <c r="B17" i="7"/>
  <c r="B14" i="7"/>
  <c r="B13" i="7"/>
  <c r="B10" i="7"/>
  <c r="B11" i="7"/>
  <c r="B9" i="7"/>
  <c r="B8" i="7"/>
  <c r="B7" i="7"/>
  <c r="B32" i="5"/>
  <c r="B31" i="5"/>
  <c r="F8" i="5"/>
  <c r="G8" i="5"/>
  <c r="H8" i="5"/>
  <c r="I8" i="5"/>
  <c r="C27" i="4"/>
  <c r="B27" i="4"/>
  <c r="B20" i="4"/>
  <c r="B12" i="4"/>
  <c r="B8" i="4"/>
  <c r="B7" i="4"/>
  <c r="B6" i="4"/>
  <c r="B9" i="4" s="1"/>
  <c r="D11" i="3"/>
  <c r="D8" i="5" s="1"/>
  <c r="E11" i="3"/>
  <c r="E8" i="5" s="1"/>
  <c r="F11" i="3"/>
  <c r="G11" i="3"/>
  <c r="H11" i="3"/>
  <c r="I11" i="3"/>
  <c r="C11" i="3"/>
  <c r="B8" i="3"/>
  <c r="B9" i="3"/>
  <c r="B10" i="3"/>
  <c r="B7" i="3"/>
  <c r="B15" i="2"/>
  <c r="C15" i="2" s="1"/>
  <c r="D15" i="2" s="1"/>
  <c r="E15" i="2" s="1"/>
  <c r="F15" i="2" s="1"/>
  <c r="G15" i="2" s="1"/>
  <c r="H15" i="2" s="1"/>
  <c r="B13" i="2"/>
  <c r="B11" i="2"/>
  <c r="B8" i="2"/>
  <c r="C8" i="2" s="1"/>
  <c r="D8" i="2" s="1"/>
  <c r="E8" i="2" s="1"/>
  <c r="F8" i="2" s="1"/>
  <c r="G8" i="2" s="1"/>
  <c r="H8" i="2" s="1"/>
  <c r="B54" i="1"/>
  <c r="B50" i="1"/>
  <c r="B21" i="1"/>
  <c r="B14" i="1"/>
  <c r="B16" i="1" s="1"/>
  <c r="B20" i="7" l="1"/>
  <c r="B20" i="5"/>
  <c r="B25" i="4"/>
  <c r="B19" i="4"/>
  <c r="B18" i="4"/>
  <c r="B12" i="5"/>
  <c r="B13" i="5" s="1"/>
  <c r="B13" i="4"/>
  <c r="B14" i="2"/>
  <c r="C13" i="2"/>
  <c r="B12" i="2"/>
  <c r="C11" i="2"/>
  <c r="B10" i="2"/>
  <c r="B9" i="2"/>
  <c r="B16" i="2" s="1"/>
  <c r="C7" i="2"/>
  <c r="B11" i="3"/>
  <c r="B19" i="7" s="1"/>
  <c r="E13" i="3"/>
  <c r="C13" i="3"/>
  <c r="G13" i="3"/>
  <c r="I13" i="3"/>
  <c r="C8" i="5"/>
  <c r="D13" i="3"/>
  <c r="F13" i="3"/>
  <c r="H13" i="3"/>
  <c r="B19" i="5"/>
  <c r="B23" i="5" s="1"/>
  <c r="B28" i="5" s="1"/>
  <c r="B37" i="7" s="1"/>
  <c r="B29" i="4" l="1"/>
  <c r="B26" i="4"/>
  <c r="B28" i="4" s="1"/>
  <c r="C21" i="5" s="1"/>
  <c r="D13" i="2"/>
  <c r="C14" i="2"/>
  <c r="D11" i="2"/>
  <c r="C12" i="2"/>
  <c r="B25" i="7"/>
  <c r="B19" i="2"/>
  <c r="B20" i="2"/>
  <c r="B21" i="2"/>
  <c r="B22" i="2"/>
  <c r="B23" i="2"/>
  <c r="B24" i="2"/>
  <c r="B25" i="2"/>
  <c r="B26" i="2"/>
  <c r="C9" i="2"/>
  <c r="C16" i="2" s="1"/>
  <c r="D7" i="2"/>
  <c r="B21" i="7"/>
  <c r="B14" i="4"/>
  <c r="C25" i="4"/>
  <c r="D14" i="2" l="1"/>
  <c r="E13" i="2"/>
  <c r="D12" i="2"/>
  <c r="E11" i="2"/>
  <c r="C26" i="2"/>
  <c r="C25" i="2"/>
  <c r="C24" i="2"/>
  <c r="C23" i="2"/>
  <c r="C22" i="2"/>
  <c r="C21" i="2"/>
  <c r="C20" i="2"/>
  <c r="C19" i="2"/>
  <c r="C27" i="2" s="1"/>
  <c r="C30" i="2" s="1"/>
  <c r="D9" i="2"/>
  <c r="E7" i="2"/>
  <c r="B27" i="2"/>
  <c r="B30" i="2" s="1"/>
  <c r="C29" i="4"/>
  <c r="C26" i="4"/>
  <c r="C28" i="4" s="1"/>
  <c r="D16" i="2" l="1"/>
  <c r="E14" i="2"/>
  <c r="F13" i="2"/>
  <c r="E12" i="2"/>
  <c r="F11" i="2"/>
  <c r="C32" i="2"/>
  <c r="C33" i="2"/>
  <c r="C31" i="4"/>
  <c r="D7" i="5"/>
  <c r="D13" i="5" s="1"/>
  <c r="D19" i="5" s="1"/>
  <c r="E9" i="2"/>
  <c r="F7" i="2"/>
  <c r="B27" i="7"/>
  <c r="C7" i="5"/>
  <c r="C13" i="5" s="1"/>
  <c r="B31" i="4"/>
  <c r="B35" i="2"/>
  <c r="B29" i="7" s="1"/>
  <c r="B33" i="2"/>
  <c r="D21" i="5"/>
  <c r="D25" i="4"/>
  <c r="E16" i="2" l="1"/>
  <c r="D26" i="2"/>
  <c r="D25" i="2"/>
  <c r="D24" i="2"/>
  <c r="D23" i="2"/>
  <c r="D22" i="2"/>
  <c r="D21" i="2"/>
  <c r="D20" i="2"/>
  <c r="D19" i="2"/>
  <c r="F14" i="2"/>
  <c r="G13" i="2"/>
  <c r="F12" i="2"/>
  <c r="G11" i="2"/>
  <c r="F9" i="2"/>
  <c r="G7" i="2"/>
  <c r="C19" i="5"/>
  <c r="C23" i="5" s="1"/>
  <c r="B32" i="4"/>
  <c r="B33" i="4"/>
  <c r="D23" i="5"/>
  <c r="C32" i="4"/>
  <c r="C33" i="4"/>
  <c r="D26" i="4"/>
  <c r="D27" i="4" s="1"/>
  <c r="D27" i="2" l="1"/>
  <c r="D30" i="2" s="1"/>
  <c r="E24" i="2"/>
  <c r="E22" i="2"/>
  <c r="E20" i="2"/>
  <c r="E26" i="2"/>
  <c r="E25" i="2"/>
  <c r="E23" i="2"/>
  <c r="E21" i="2"/>
  <c r="E19" i="2"/>
  <c r="G14" i="2"/>
  <c r="H13" i="2"/>
  <c r="H14" i="2" s="1"/>
  <c r="G12" i="2"/>
  <c r="H11" i="2"/>
  <c r="G9" i="2"/>
  <c r="H7" i="2"/>
  <c r="H9" i="2" s="1"/>
  <c r="F16" i="2"/>
  <c r="D28" i="4"/>
  <c r="D29" i="4"/>
  <c r="E21" i="5"/>
  <c r="E25" i="4"/>
  <c r="E27" i="2" l="1"/>
  <c r="E30" i="2" s="1"/>
  <c r="E7" i="5"/>
  <c r="E13" i="5" s="1"/>
  <c r="E19" i="5" s="1"/>
  <c r="E23" i="5" s="1"/>
  <c r="D31" i="4"/>
  <c r="D33" i="2"/>
  <c r="D32" i="2"/>
  <c r="H12" i="2"/>
  <c r="H16" i="2" s="1"/>
  <c r="D32" i="4"/>
  <c r="D33" i="4"/>
  <c r="F19" i="2"/>
  <c r="F20" i="2"/>
  <c r="F21" i="2"/>
  <c r="F22" i="2"/>
  <c r="F23" i="2"/>
  <c r="F24" i="2"/>
  <c r="F25" i="2"/>
  <c r="F26" i="2"/>
  <c r="G16" i="2"/>
  <c r="E26" i="4"/>
  <c r="E27" i="4" s="1"/>
  <c r="D38" i="5" l="1"/>
  <c r="F38" i="5"/>
  <c r="G38" i="5"/>
  <c r="B38" i="5"/>
  <c r="E38" i="5"/>
  <c r="C38" i="5"/>
  <c r="F7" i="5"/>
  <c r="F13" i="5" s="1"/>
  <c r="F19" i="5" s="1"/>
  <c r="E31" i="4"/>
  <c r="E32" i="4" s="1"/>
  <c r="E33" i="2"/>
  <c r="E32" i="2"/>
  <c r="F27" i="2"/>
  <c r="F30" i="2" s="1"/>
  <c r="G19" i="2"/>
  <c r="G20" i="2"/>
  <c r="G21" i="2"/>
  <c r="G22" i="2"/>
  <c r="G23" i="2"/>
  <c r="G24" i="2"/>
  <c r="G25" i="2"/>
  <c r="G26" i="2"/>
  <c r="H19" i="2"/>
  <c r="H20" i="2"/>
  <c r="H21" i="2"/>
  <c r="H22" i="2"/>
  <c r="H23" i="2"/>
  <c r="H24" i="2"/>
  <c r="H25" i="2"/>
  <c r="H26" i="2"/>
  <c r="B26" i="7"/>
  <c r="E28" i="4"/>
  <c r="E29" i="4"/>
  <c r="F21" i="5"/>
  <c r="F31" i="4" l="1"/>
  <c r="G7" i="5"/>
  <c r="G13" i="5" s="1"/>
  <c r="F32" i="2"/>
  <c r="F33" i="2"/>
  <c r="G19" i="5"/>
  <c r="G27" i="2"/>
  <c r="G30" i="2" s="1"/>
  <c r="H27" i="2"/>
  <c r="H30" i="2" s="1"/>
  <c r="E33" i="4"/>
  <c r="F25" i="4"/>
  <c r="F26" i="4"/>
  <c r="F27" i="4" s="1"/>
  <c r="F28" i="4" s="1"/>
  <c r="F23" i="5"/>
  <c r="H7" i="5" l="1"/>
  <c r="H13" i="5" s="1"/>
  <c r="G31" i="4"/>
  <c r="G33" i="2"/>
  <c r="G32" i="2"/>
  <c r="B7" i="6"/>
  <c r="B42" i="7" s="1"/>
  <c r="B8" i="6"/>
  <c r="B43" i="7" s="1"/>
  <c r="B30" i="7"/>
  <c r="B28" i="7"/>
  <c r="I7" i="5"/>
  <c r="H31" i="4"/>
  <c r="H33" i="2"/>
  <c r="H32" i="2"/>
  <c r="F29" i="4"/>
  <c r="G21" i="5"/>
  <c r="F32" i="4"/>
  <c r="H19" i="5" l="1"/>
  <c r="I9" i="5"/>
  <c r="B37" i="5"/>
  <c r="C37" i="5"/>
  <c r="D37" i="5"/>
  <c r="E37" i="5"/>
  <c r="F37" i="5"/>
  <c r="G37" i="5"/>
  <c r="F33" i="4"/>
  <c r="G25" i="4"/>
  <c r="G26" i="4"/>
  <c r="G27" i="4" s="1"/>
  <c r="G23" i="5"/>
  <c r="I10" i="5" l="1"/>
  <c r="I11" i="5" s="1"/>
  <c r="G28" i="4"/>
  <c r="G29" i="4"/>
  <c r="G33" i="4" s="1"/>
  <c r="H25" i="4"/>
  <c r="B11" i="6" l="1"/>
  <c r="B46" i="7" s="1"/>
  <c r="I13" i="5"/>
  <c r="H21" i="5"/>
  <c r="H23" i="5" s="1"/>
  <c r="G32" i="4"/>
  <c r="H26" i="4"/>
  <c r="H27" i="4" s="1"/>
  <c r="I19" i="5" l="1"/>
  <c r="B15" i="5"/>
  <c r="B33" i="7" s="1"/>
  <c r="B16" i="5"/>
  <c r="B34" i="7" s="1"/>
  <c r="H28" i="4"/>
  <c r="H29" i="4"/>
  <c r="I22" i="5"/>
  <c r="B9" i="6"/>
  <c r="H33" i="4"/>
  <c r="I21" i="5" l="1"/>
  <c r="I23" i="5" s="1"/>
  <c r="H32" i="4"/>
  <c r="B44" i="7"/>
  <c r="B10" i="6"/>
  <c r="B13" i="6" s="1"/>
  <c r="B45" i="7" l="1"/>
  <c r="B26" i="5"/>
  <c r="B36" i="7" s="1"/>
  <c r="B29" i="5"/>
  <c r="B25" i="5"/>
  <c r="B35" i="7" s="1"/>
  <c r="B38" i="7" l="1"/>
  <c r="B30" i="5"/>
  <c r="B39" i="7" l="1"/>
  <c r="B14" i="6"/>
  <c r="C10" i="6" l="1"/>
  <c r="C45" i="7" s="1"/>
  <c r="B15" i="6"/>
  <c r="C9" i="6"/>
  <c r="C44" i="7" s="1"/>
  <c r="C8" i="6"/>
  <c r="C43" i="7" s="1"/>
  <c r="C11" i="6"/>
  <c r="C46" i="7" s="1"/>
  <c r="C7" i="6"/>
  <c r="C13" i="6" l="1"/>
  <c r="C42" i="7"/>
</calcChain>
</file>

<file path=xl/sharedStrings.xml><?xml version="1.0" encoding="utf-8"?>
<sst xmlns="http://schemas.openxmlformats.org/spreadsheetml/2006/main" count="249" uniqueCount="220">
  <si>
    <t>PROPERTY DETAILS</t>
  </si>
  <si>
    <t>Property Name</t>
  </si>
  <si>
    <t>Property Type</t>
  </si>
  <si>
    <t>Address</t>
  </si>
  <si>
    <t>Submarket</t>
  </si>
  <si>
    <t>Year Built / Designer</t>
  </si>
  <si>
    <t>Course Length (yds)</t>
  </si>
  <si>
    <t>Par</t>
  </si>
  <si>
    <t>DEAL ECONOMICS</t>
  </si>
  <si>
    <t>Purchase Price</t>
  </si>
  <si>
    <t>Closing Costs (2%)</t>
  </si>
  <si>
    <t>Day-1 Capex Reserve</t>
  </si>
  <si>
    <t>Total Deal Size</t>
  </si>
  <si>
    <t>HOLD PERIOD</t>
  </si>
  <si>
    <t>Target Hold (years)</t>
  </si>
  <si>
    <t>Entry Date</t>
  </si>
  <si>
    <t>Exit Date</t>
  </si>
  <si>
    <t>REVENUE ASSUMPTIONS - YEAR 1 Base</t>
  </si>
  <si>
    <t>Rounds Played (Year 1)</t>
  </si>
  <si>
    <t>Avg Greens Fee ($/round)</t>
  </si>
  <si>
    <t>Avg Cart Fee ($/round)</t>
  </si>
  <si>
    <t>F&amp;B Revenue / Round</t>
  </si>
  <si>
    <t>Range Revenue / Round</t>
  </si>
  <si>
    <t>Cart Fee Attach %</t>
  </si>
  <si>
    <t>Pro Shop &amp; Events (annual)</t>
  </si>
  <si>
    <t>GROWTH ASSUMPTIONS</t>
  </si>
  <si>
    <t>Rounds Growth %/yr</t>
  </si>
  <si>
    <t>Greens Fee Growth %/yr</t>
  </si>
  <si>
    <t>F&amp;B Growth %/yr</t>
  </si>
  <si>
    <t>Range Growth %/yr</t>
  </si>
  <si>
    <t>Pro Shop Growth %/yr</t>
  </si>
  <si>
    <t>OpEx Growth %/yr</t>
  </si>
  <si>
    <t>OPEX ASSUMPTIONS (% of EGR)</t>
  </si>
  <si>
    <t>Course Maintenance</t>
  </si>
  <si>
    <t>Golf Ops Labor</t>
  </si>
  <si>
    <t>F&amp;B COGS + Labor</t>
  </si>
  <si>
    <t>G&amp;A / Insurance</t>
  </si>
  <si>
    <t>Utilities</t>
  </si>
  <si>
    <t>Property Tax</t>
  </si>
  <si>
    <t>Marketing</t>
  </si>
  <si>
    <t>Management Fee</t>
  </si>
  <si>
    <t>TOTAL OPEX % of EGR</t>
  </si>
  <si>
    <t>DEBT ASSUMPTIONS (Estimated - not disclosed)</t>
  </si>
  <si>
    <t>LTV</t>
  </si>
  <si>
    <t>Loan Amount</t>
  </si>
  <si>
    <t>Interest Rate</t>
  </si>
  <si>
    <t>Loan Term (years)</t>
  </si>
  <si>
    <t>Amortization (years)</t>
  </si>
  <si>
    <t>I/O Period (years)</t>
  </si>
  <si>
    <t>EXIT ASSUMPTIONS</t>
  </si>
  <si>
    <t>Exit Cap Rate</t>
  </si>
  <si>
    <t>Sale Costs</t>
  </si>
  <si>
    <t>Ahwatukee Golf Club</t>
  </si>
  <si>
    <t>12432 S 48th St, Phoenix, AZ 85044</t>
  </si>
  <si>
    <t>Ahwatukee Foothills (South Phoenix)</t>
  </si>
  <si>
    <t>1974 / John Bulla</t>
  </si>
  <si>
    <t>10bps compression from entry</t>
  </si>
  <si>
    <t>Common for value-add deals</t>
  </si>
  <si>
    <t>Current bridge rate for small CRE</t>
  </si>
  <si>
    <t>Conservative for golf asset</t>
  </si>
  <si>
    <t>Operator Cut</t>
  </si>
  <si>
    <t>Largest line - industry 25-35%</t>
  </si>
  <si>
    <t>Inflation baseline</t>
  </si>
  <si>
    <t>Range reno Y1 driver</t>
  </si>
  <si>
    <t>Clubhouse ren driver</t>
  </si>
  <si>
    <t>Price increases w/ improvements</t>
  </si>
  <si>
    <t>Slow organic post-capex</t>
  </si>
  <si>
    <t>Industry $8-15 range</t>
  </si>
  <si>
    <t>% of rounds using cart</t>
  </si>
  <si>
    <t>Phoenix daily fee benchmark (SCW avg $34,650)</t>
  </si>
  <si>
    <t>Matches long-term thesis of ViaWest</t>
  </si>
  <si>
    <t>Working capital for Y1 renovations</t>
  </si>
  <si>
    <t>Industry standard 2%</t>
  </si>
  <si>
    <t>Verified per Vizzda records</t>
  </si>
  <si>
    <t>OPERATING MODEL - 7-YEAR PROJECTION</t>
  </si>
  <si>
    <t>Year 1</t>
  </si>
  <si>
    <t>Year 2</t>
  </si>
  <si>
    <t>Year 3</t>
  </si>
  <si>
    <t>Year 4</t>
  </si>
  <si>
    <t>Year 5</t>
  </si>
  <si>
    <t>Year 6</t>
  </si>
  <si>
    <t>Year 7</t>
  </si>
  <si>
    <t>REVENUE</t>
  </si>
  <si>
    <t>Rounds Played</t>
  </si>
  <si>
    <t>x Average Greens Fee ($/round)</t>
  </si>
  <si>
    <t xml:space="preserve"> =Greens Fee Revenue</t>
  </si>
  <si>
    <t xml:space="preserve"> + Cart Revenue</t>
  </si>
  <si>
    <t xml:space="preserve"> + F&amp;B Revenue</t>
  </si>
  <si>
    <t xml:space="preserve"> + Range Revenue</t>
  </si>
  <si>
    <t xml:space="preserve"> + Pro Shop &amp; Events</t>
  </si>
  <si>
    <t xml:space="preserve"> = TOTAL REVENUE</t>
  </si>
  <si>
    <t>OPERATING EXPENSES</t>
  </si>
  <si>
    <t>Course Maintenance (30% EGR)</t>
  </si>
  <si>
    <t>Golf Ops Labor (12% EGR)</t>
  </si>
  <si>
    <t>F&amp;B COGS + Labor (15% EGR)</t>
  </si>
  <si>
    <t>G&amp;A / Insurance (4% EGR)</t>
  </si>
  <si>
    <t>Utilities (3% EGR)</t>
  </si>
  <si>
    <t>Property Tax (2.5% EGR)</t>
  </si>
  <si>
    <t>Marketing (2% EGR)</t>
  </si>
  <si>
    <t>Management Fee (5% EGR)</t>
  </si>
  <si>
    <t xml:space="preserve"> = TOTAL OPEX</t>
  </si>
  <si>
    <t>NET OPERATING INCOME (NOI)</t>
  </si>
  <si>
    <t>NOI GROWTH YoY</t>
  </si>
  <si>
    <t>NOI Margin</t>
  </si>
  <si>
    <t>Implied Entry Cap Rate</t>
  </si>
  <si>
    <t>-</t>
  </si>
  <si>
    <t>CAPEX SCHEDULE - PHASED VALUE-ADD IMPROVEMENTS</t>
  </si>
  <si>
    <t>Total</t>
  </si>
  <si>
    <t>CAPEX DEPLOYMENT</t>
  </si>
  <si>
    <t>Driving Range Upgrade</t>
  </si>
  <si>
    <t>Irrigation Modernization</t>
  </si>
  <si>
    <t>Clubhouse Renovation</t>
  </si>
  <si>
    <t>F&amp;B / Hospitality Expansion</t>
  </si>
  <si>
    <t>TOTAL CAPEX</t>
  </si>
  <si>
    <t>SOURCES &amp; USES</t>
  </si>
  <si>
    <t>USES OF FUNDS</t>
  </si>
  <si>
    <t>TOTAL USES</t>
  </si>
  <si>
    <t>SOURCES OF FUNDS</t>
  </si>
  <si>
    <t>Senior Debt</t>
  </si>
  <si>
    <t>Common Equity (plug)</t>
  </si>
  <si>
    <t>TOTAL SOURCES</t>
  </si>
  <si>
    <t>DEBT METRICS AT CLOSE</t>
  </si>
  <si>
    <t>LTV (Loan-to-Value)</t>
  </si>
  <si>
    <t>Loan-to-Cost (LTC)</t>
  </si>
  <si>
    <t>Annual P&amp;I Payment (post I/O)</t>
  </si>
  <si>
    <t>DEBT SCHEDULE</t>
  </si>
  <si>
    <t>Year</t>
  </si>
  <si>
    <t>Beginning Balance</t>
  </si>
  <si>
    <t>Interest Expense</t>
  </si>
  <si>
    <t>Principal Payment</t>
  </si>
  <si>
    <t>Total Debt Service</t>
  </si>
  <si>
    <t>Ending Balance</t>
  </si>
  <si>
    <t>NOI</t>
  </si>
  <si>
    <t>DSCR</t>
  </si>
  <si>
    <t>Debt Yield (NOI / Loan Bal)</t>
  </si>
  <si>
    <t>RETURNS</t>
  </si>
  <si>
    <t>UNLEVERED CASH FLOWS</t>
  </si>
  <si>
    <t>Less: Capex</t>
  </si>
  <si>
    <t>Exit Value (Gross)</t>
  </si>
  <si>
    <t>Less: Sale Costs</t>
  </si>
  <si>
    <t>Initial Investment (Entry)</t>
  </si>
  <si>
    <t>UNLEVERED CASH FLOW</t>
  </si>
  <si>
    <t>Unlevered IRR</t>
  </si>
  <si>
    <t>Unlevered MOIC</t>
  </si>
  <si>
    <t>LEVERED CASH FLOWS</t>
  </si>
  <si>
    <t>Unlevered Cash Flow (from above)</t>
  </si>
  <si>
    <t>Plus: Debt Proceeds</t>
  </si>
  <si>
    <t>Less: Debt Service</t>
  </si>
  <si>
    <t>Less: Loan Payoff at Exit</t>
  </si>
  <si>
    <t>LEVERED CASH FLOW</t>
  </si>
  <si>
    <t>LEVERED IRR</t>
  </si>
  <si>
    <t>LEVERED MOIC</t>
  </si>
  <si>
    <t>Total Equity Invested</t>
  </si>
  <si>
    <t>Total Equity Returned</t>
  </si>
  <si>
    <t>Total Profit</t>
  </si>
  <si>
    <t>Hold Period (years)</t>
  </si>
  <si>
    <t>RETURNS BRIDGE - ATTRIBUTION OF LEVERED PROFIT</t>
  </si>
  <si>
    <t>Driver</t>
  </si>
  <si>
    <t>Value ($)</t>
  </si>
  <si>
    <t>% of Profit</t>
  </si>
  <si>
    <t>1. NOI Growth</t>
  </si>
  <si>
    <t>2. Cap Rate Movement</t>
  </si>
  <si>
    <t>3. Debt Paydown</t>
  </si>
  <si>
    <t>4. Operating Cash Flow</t>
  </si>
  <si>
    <t>5. Transaction Costs</t>
  </si>
  <si>
    <t>TOTAL (bridge sum)</t>
  </si>
  <si>
    <t>Difference (should be small)</t>
  </si>
  <si>
    <t>INVESTMENT SUMMARY - AHWATUKEE GOLF CLUB</t>
  </si>
  <si>
    <t>ViaWest Group</t>
  </si>
  <si>
    <t>DEAL OVERVIEW</t>
  </si>
  <si>
    <t>Target Exit Date</t>
  </si>
  <si>
    <t>CAPITAL STRUCTURE</t>
  </si>
  <si>
    <t>Closing Costs + Day-1 Reserve</t>
  </si>
  <si>
    <t>Total CapEx Plan (Y1-Y3)</t>
  </si>
  <si>
    <t>Senior Debt (55% LTV)</t>
  </si>
  <si>
    <t>Common Equity Required</t>
  </si>
  <si>
    <t>Debt Rate / Term</t>
  </si>
  <si>
    <t>OPERATING HIGHLIGHTS</t>
  </si>
  <si>
    <t>Year 1 Revenue</t>
  </si>
  <si>
    <t>Year 7 Revenue</t>
  </si>
  <si>
    <t>Year 1 NOI</t>
  </si>
  <si>
    <t>Year 7 NOI</t>
  </si>
  <si>
    <t>NOI CAGR (6-yr)</t>
  </si>
  <si>
    <t>RETURNS SUMMARY</t>
  </si>
  <si>
    <t>Levered IRR</t>
  </si>
  <si>
    <t>Levered MOIC</t>
  </si>
  <si>
    <t>RETURNS ATTRIBUTION</t>
  </si>
  <si>
    <t>NOI Growth</t>
  </si>
  <si>
    <t>Cap Rate Movement</t>
  </si>
  <si>
    <t>Debt Paydown</t>
  </si>
  <si>
    <t>Operating Cash Flow</t>
  </si>
  <si>
    <t>Transaction Costs</t>
  </si>
  <si>
    <t>KEY RISKS &amp; MITIGANTS</t>
  </si>
  <si>
    <t>UPSIDE CASE - GOLF ENTERTAINMENT REPOSITIONING</t>
  </si>
  <si>
    <t>INVESTMENT THESIS</t>
  </si>
  <si>
    <r>
      <rPr>
        <b/>
        <sz val="36"/>
        <color theme="1"/>
        <rFont val="Aptos Narrow"/>
        <family val="2"/>
        <scheme val="minor"/>
      </rPr>
      <t>Potential Expansion Opportunity</t>
    </r>
    <r>
      <rPr>
        <sz val="36"/>
        <color theme="1"/>
        <rFont val="Aptos Narrow"/>
        <family val="2"/>
        <scheme val="minor"/>
      </rPr>
      <t xml:space="preserve"> - ViaWest's partnership with Paradigm Golf caught my attention because Paradigm also operates Dobson Ranch, which has successfully incorporated Toptracer technology, a driving range, and food and beverage offerings. I think a similar approach could create additional revenue opportunities at this property beyond the planned renovations.</t>
    </r>
  </si>
  <si>
    <r>
      <rPr>
        <b/>
        <sz val="36"/>
        <color theme="1"/>
        <rFont val="Aptos Narrow"/>
        <family val="2"/>
        <scheme val="minor"/>
      </rPr>
      <t>Opportunity in Local Market</t>
    </r>
    <r>
      <rPr>
        <sz val="36"/>
        <color theme="1"/>
        <rFont val="Aptos Narrow"/>
        <family val="2"/>
        <scheme val="minor"/>
      </rPr>
      <t xml:space="preserve"> - There appears to be a gap in the local market for golf entertainment. Based on my research, there are no major venues like Topgolf, BigShots, or Puttshack within 10 miles of the property. With a surrounding population of over 400,000, I think there could be demand for a more entertainment-focused golf experience.</t>
    </r>
  </si>
  <si>
    <r>
      <rPr>
        <b/>
        <sz val="36"/>
        <color theme="1"/>
        <rFont val="Aptos Narrow"/>
        <family val="2"/>
        <scheme val="minor"/>
      </rPr>
      <t>Proposed Property Improvements</t>
    </r>
    <r>
      <rPr>
        <sz val="36"/>
        <color theme="1"/>
        <rFont val="Aptos Narrow"/>
        <family val="2"/>
        <scheme val="minor"/>
      </rPr>
      <t xml:space="preserve"> - My expansion concept includes adding 24–36 Toptracer-equipped driving range bays, improved range lighting, a five-hole par-3 course, mini-golf, and an expanded outdoor food and beverage area. I estimate these additional improvements would require approximately $3.0M in capital.</t>
    </r>
  </si>
  <si>
    <r>
      <rPr>
        <b/>
        <sz val="36"/>
        <color theme="1"/>
        <rFont val="Aptos Narrow"/>
        <family val="2"/>
        <scheme val="minor"/>
      </rPr>
      <t>Supporting Industry Trends</t>
    </r>
    <r>
      <rPr>
        <sz val="36"/>
        <color theme="1"/>
        <rFont val="Aptos Narrow"/>
        <family val="2"/>
        <scheme val="minor"/>
      </rPr>
      <t xml:space="preserve"> - Golf entertainment has shown the potential to generate revenue beyond traditional rounds of golf. Topgolf's historical revenue growth and the adoption of Toptracer technology at daily-fee courses support the idea that upgraded range facilities could attract additional customers. However, I would want to validate local demand before moving forward with a major expansion.</t>
    </r>
  </si>
  <si>
    <t>18-Hole Daily Fee Golf + F&amp;B + Range</t>
  </si>
  <si>
    <t>ACTUAL Total Profit (from Returns tab)</t>
  </si>
  <si>
    <t>Data Sources: Sun City West CFO Golf Report, BizBuySell Golf Course Benchmarks, ViaWest Group press release.</t>
  </si>
  <si>
    <t>EXIT CAP RATE SENSITIVITY</t>
  </si>
  <si>
    <t>Y7 Exit Value</t>
  </si>
  <si>
    <t>Approx Levered MOIC</t>
  </si>
  <si>
    <t>2. Daily-Fee Golf Is Tough
Rounds growth has been uneven since COVID normalized, and daily-fee golf competes with Topgolf-style venues for discretionary spending. If rounds flatten or decline, revenue gets hit directly. Mitigant: My revenue model isn’t all greens fees — F&amp;B, range, and events contribute meaningfully. Diversifying the revenue mix means flat round counts alone don’t kill the deal.</t>
  </si>
  <si>
    <t>5. Zoning + Community Pushback
If ViaWest wants to add lighting or expand hospitality (where the biggest upside probably is), they’d need permits from the city and likely buy-in from Ahwatukee Foothills HOAs. That process can be slow or blocked. Mitigant: Start with improvements that don’t require new permits (irrigation, clubhouse interior), then approach the bigger changes once the community sees the asset is being professionalized.</t>
  </si>
  <si>
    <t>Y1 Operator Transition Discount</t>
  </si>
  <si>
    <t>1. Cheap Basis Creates a Lot of Margin for Error - At $5.3M, ViaWest’s implied Y1 cap rate is around 12% based on my NOI assumptions. Daily-fee golf courses usually trade at 8-12%, so they’re starting with a meaningful discount. Even if operations don’t improve dramatically, the entry price alone should drive solid returns.</t>
  </si>
  <si>
    <t>7.00% / 7 yr (2-yr I/O)</t>
  </si>
  <si>
    <t>3. The Capex Plan Fixes Real Deferred Maintenance
My model includes $1.1M in improvements over Years 1-3: irrigation modernization, driving range + Toptracer tech, and clubhouse renovation. Irrigation is probably the most urgent since course condition drives rounds. The press release said the course stays open during construction, which protects revenue through the transformation.</t>
  </si>
  <si>
    <t>3. Capex Execution Risk
Deploying $1.1M in improvements over 3 years while keeping the course operational is logistically tricky — delays and budget overruns are common on renovation projects. Mitigant: The phased approach lets ViaWest slow or pause capex if returns underperform. Paradigm Golf also has operational experience managing this kind of work.</t>
  </si>
  <si>
    <t>1. Exit Cap Risk
Most of the projected profit depends on the cap rate compressing from the implied 12% entry to 8% at exit. If that doesn't happen (say it holds at 9-10% at sale), returns drop meaningfully — the sensitivity table shows IRR in the mid-teens instead of the low-20s. Mitigant: Lock in long-term fixed-rate debt and keep hold flexibility so the sponsor isn't forced to sell into a bad market.</t>
  </si>
  <si>
    <t>Potential Financial Returns - Including the proposed expansion, total project investment would be approximately $9.4M ($5.3M purchase + $1.1M base capex + $3M expansion capex), compared to more than $20M for a new Topgolf-style facility. I didn't build a full scenario model for this expansion — I'd want to validate local demand, construction costs, and permitting before committing to specific IRR/MOIC targets. The thesis is that cheaper capex than a greenfield entertainment venue plus leveraging existing land and clubhouse infrastructure could meaningfully improve the base case returns.</t>
  </si>
  <si>
    <t>Net Sale Proceeds + Reserve Return</t>
  </si>
  <si>
    <t>Cumulative Capex Deployed</t>
  </si>
  <si>
    <t>2. The Operator Choice Suggests an Experiential Direction
ViaWest partnered with Paradigm Golf, which also operates Dobson Ranch about 12 miles east. Dobson Ranch has a lit range, Toptracer bays, and an F&amp;B program that pulls in non-golfers. Picking Paradigm specifically could suggest an interest in replicating that experiential model here rather than running a traditional daily-fee course — though ViaWest's actual plan isn't public.</t>
  </si>
  <si>
    <t>5. Several Potential Exit Paths
If the business plan works, potential exits could include a sale to a specialized operator like Troon or KemperSports, bringing in a JV equity partner, or an extended hold for cash flow. Multiple exit paths give the sponsor flexibility to time the sale with market conditions, though the specific strategy would depend on their fund structure and liquidity needs.</t>
  </si>
  <si>
    <t>4. Operator Concentration
Paradigm Golf is doing a lot of the operational heavy lifting (course management, F&amp;B, membership programs). If they underperform, the whole thesis takes a hit. Mitigant: Operating performance should be monitored against clear KPIs through the hold period, with the sponsor retaining the ability to restructure the operating agreement if targets aren't met.</t>
  </si>
  <si>
    <t>4. Not Much Competition Nearby
Ahwatukee Lakes Golf Course closed a few years ago, so daily-fee supply in this submarket has shrunk. The nearest Topgolf-style venue is nearly 20 miles away in Gilbert. The Ahwatukee Foothills area has a lot of families and empty-nesters, which seems like a good audience for a casual golf-entertainment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</si>
</sst>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_(&quot;$&quot;* #,##0_);_(&quot;$&quot;* \(#,##0\);_(&quot;$&quot;* &quot;-&quot;??_);_(@_)"/>
    <numFmt numFmtId="165" formatCode="0.0%"/>
    <numFmt numFmtId="166" formatCode="0.00\x"/>
  </numFmts>
  <fonts count="6" x14ac:knownFonts="1">
    <font>
      <sz val="36"/>
      <color theme="1"/>
      <name val="Aptos Narrow"/>
      <family val="2"/>
      <scheme val="minor"/>
    </font>
    <font>
      <sz val="36"/>
      <color theme="1"/>
      <name val="Aptos Narrow"/>
      <family val="2"/>
      <scheme val="minor"/>
    </font>
    <font>
      <b/>
      <sz val="36"/>
      <color theme="1"/>
      <name val="Aptos Narrow"/>
      <family val="2"/>
      <scheme val="minor"/>
    </font>
    <font>
      <sz val="18"/>
      <name val="Aptos Narrow"/>
      <family val="2"/>
      <scheme val="minor"/>
    </font>
    <font>
      <b/>
      <sz val="48"/>
      <color theme="1"/>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cellStyleXfs>
  <cellXfs count="21">
    <xf numFmtId="0" fontId="0" fillId="0" borderId="0" xfId="0"/>
    <xf numFmtId="14" fontId="0" fillId="0" borderId="0" xfId="0" applyNumberFormat="1"/>
    <xf numFmtId="44" fontId="0" fillId="0" borderId="0" xfId="1" applyFont="1"/>
    <xf numFmtId="164" fontId="0" fillId="0" borderId="0" xfId="1" applyNumberFormat="1" applyFont="1"/>
    <xf numFmtId="9" fontId="0" fillId="0" borderId="0" xfId="2" applyFont="1"/>
    <xf numFmtId="0" fontId="2" fillId="0" borderId="0" xfId="0" applyFont="1"/>
    <xf numFmtId="0" fontId="2" fillId="0" borderId="0" xfId="0" applyFont="1" applyAlignment="1">
      <alignment horizontal="center"/>
    </xf>
    <xf numFmtId="1" fontId="0" fillId="0" borderId="0" xfId="0" applyNumberFormat="1"/>
    <xf numFmtId="164" fontId="0" fillId="0" borderId="0" xfId="0" applyNumberFormat="1"/>
    <xf numFmtId="44" fontId="0" fillId="0" borderId="0" xfId="0" applyNumberFormat="1"/>
    <xf numFmtId="165" fontId="0" fillId="0" borderId="0" xfId="2" applyNumberFormat="1" applyFont="1"/>
    <xf numFmtId="8" fontId="0" fillId="0" borderId="0" xfId="0" applyNumberFormat="1"/>
    <xf numFmtId="166" fontId="0" fillId="0" borderId="0" xfId="0" applyNumberFormat="1"/>
    <xf numFmtId="9" fontId="0" fillId="0" borderId="0" xfId="0" applyNumberFormat="1"/>
    <xf numFmtId="0" fontId="0" fillId="0" borderId="0" xfId="0" applyAlignment="1">
      <alignment wrapText="1"/>
    </xf>
    <xf numFmtId="0" fontId="0" fillId="0" borderId="0" xfId="0" applyAlignment="1">
      <alignment wrapText="1"/>
    </xf>
    <xf numFmtId="0" fontId="4" fillId="0" borderId="0" xfId="0" applyFont="1"/>
    <xf numFmtId="0" fontId="0" fillId="0" borderId="0" xfId="0" applyAlignment="1">
      <alignment horizontal="left" vertical="top" wrapText="1"/>
    </xf>
    <xf numFmtId="0" fontId="0" fillId="0" borderId="0" xfId="0" applyAlignment="1">
      <alignment vertical="top" wrapText="1"/>
    </xf>
    <xf numFmtId="0" fontId="0" fillId="0" borderId="0" xfId="0"/>
    <xf numFmtId="0" fontId="4" fillId="0" borderId="0" xfId="0" applyFont="1" applyAlignment="1">
      <alignment wrapText="1"/>
    </xf>
  </cellXfs>
  <cellStyles count="4">
    <cellStyle name="Currency" xfId="1" builtinId="4"/>
    <cellStyle name="Normal" xfId="0" builtinId="0"/>
    <cellStyle name="Normal 2" xfId="3" xr:uid="{FD54E85E-05E0-4F64-99C7-D49C7F5F1F9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3C5-4D9C-418B-9657-F3DE9522BFDA}">
  <dimension ref="A3:C62"/>
  <sheetViews>
    <sheetView zoomScale="37" workbookViewId="0">
      <selection activeCell="B11" sqref="B11"/>
    </sheetView>
  </sheetViews>
  <sheetFormatPr defaultRowHeight="46.9" x14ac:dyDescent="1.4"/>
  <cols>
    <col min="1" max="1" width="38.26171875" bestFit="1" customWidth="1"/>
    <col min="2" max="2" width="29.28515625" bestFit="1" customWidth="1"/>
    <col min="3" max="3" width="38.4453125" bestFit="1" customWidth="1"/>
  </cols>
  <sheetData>
    <row r="3" spans="1:3" x14ac:dyDescent="1.4">
      <c r="A3" t="s">
        <v>0</v>
      </c>
    </row>
    <row r="4" spans="1:3" x14ac:dyDescent="1.4">
      <c r="A4" t="s">
        <v>1</v>
      </c>
      <c r="B4" t="s">
        <v>52</v>
      </c>
    </row>
    <row r="5" spans="1:3" x14ac:dyDescent="1.4">
      <c r="A5" t="s">
        <v>2</v>
      </c>
      <c r="B5" t="s">
        <v>199</v>
      </c>
    </row>
    <row r="6" spans="1:3" x14ac:dyDescent="1.4">
      <c r="A6" t="s">
        <v>3</v>
      </c>
      <c r="B6" t="s">
        <v>53</v>
      </c>
    </row>
    <row r="7" spans="1:3" x14ac:dyDescent="1.4">
      <c r="A7" t="s">
        <v>4</v>
      </c>
      <c r="B7" t="s">
        <v>54</v>
      </c>
    </row>
    <row r="8" spans="1:3" x14ac:dyDescent="1.4">
      <c r="A8" t="s">
        <v>5</v>
      </c>
      <c r="B8" t="s">
        <v>55</v>
      </c>
    </row>
    <row r="9" spans="1:3" x14ac:dyDescent="1.4">
      <c r="A9" t="s">
        <v>6</v>
      </c>
      <c r="B9">
        <v>6713</v>
      </c>
    </row>
    <row r="10" spans="1:3" x14ac:dyDescent="1.4">
      <c r="A10" t="s">
        <v>7</v>
      </c>
      <c r="B10">
        <v>72</v>
      </c>
    </row>
    <row r="12" spans="1:3" x14ac:dyDescent="1.4">
      <c r="A12" t="s">
        <v>8</v>
      </c>
    </row>
    <row r="13" spans="1:3" x14ac:dyDescent="1.4">
      <c r="A13" t="s">
        <v>9</v>
      </c>
      <c r="B13" s="3">
        <v>5300000</v>
      </c>
      <c r="C13" t="s">
        <v>73</v>
      </c>
    </row>
    <row r="14" spans="1:3" x14ac:dyDescent="1.4">
      <c r="A14" t="s">
        <v>10</v>
      </c>
      <c r="B14" s="3">
        <f>B13*0.02</f>
        <v>106000</v>
      </c>
      <c r="C14" t="s">
        <v>72</v>
      </c>
    </row>
    <row r="15" spans="1:3" x14ac:dyDescent="1.4">
      <c r="A15" t="s">
        <v>11</v>
      </c>
      <c r="B15" s="3">
        <v>500000</v>
      </c>
      <c r="C15" t="s">
        <v>71</v>
      </c>
    </row>
    <row r="16" spans="1:3" x14ac:dyDescent="1.4">
      <c r="A16" t="s">
        <v>12</v>
      </c>
      <c r="B16" s="3">
        <f>SUM(B13:B15)</f>
        <v>5906000</v>
      </c>
    </row>
    <row r="18" spans="1:3" x14ac:dyDescent="1.4">
      <c r="A18" t="s">
        <v>13</v>
      </c>
    </row>
    <row r="19" spans="1:3" x14ac:dyDescent="1.4">
      <c r="A19" t="s">
        <v>14</v>
      </c>
      <c r="B19">
        <v>7</v>
      </c>
      <c r="C19" t="s">
        <v>70</v>
      </c>
    </row>
    <row r="20" spans="1:3" x14ac:dyDescent="1.4">
      <c r="A20" t="s">
        <v>15</v>
      </c>
      <c r="B20" s="1">
        <v>46217</v>
      </c>
    </row>
    <row r="21" spans="1:3" x14ac:dyDescent="1.4">
      <c r="A21" t="s">
        <v>16</v>
      </c>
      <c r="B21" s="1">
        <f>EDATE(B20,B19*12)</f>
        <v>48774</v>
      </c>
    </row>
    <row r="23" spans="1:3" x14ac:dyDescent="1.4">
      <c r="A23" t="s">
        <v>17</v>
      </c>
    </row>
    <row r="24" spans="1:3" x14ac:dyDescent="1.4">
      <c r="A24" t="s">
        <v>18</v>
      </c>
      <c r="B24" s="7">
        <v>35000</v>
      </c>
      <c r="C24" t="s">
        <v>69</v>
      </c>
    </row>
    <row r="25" spans="1:3" x14ac:dyDescent="1.4">
      <c r="A25" t="s">
        <v>19</v>
      </c>
      <c r="B25" s="3">
        <v>48</v>
      </c>
    </row>
    <row r="26" spans="1:3" x14ac:dyDescent="1.4">
      <c r="A26" t="s">
        <v>23</v>
      </c>
      <c r="B26" s="4">
        <v>0.85</v>
      </c>
      <c r="C26" t="s">
        <v>68</v>
      </c>
    </row>
    <row r="27" spans="1:3" x14ac:dyDescent="1.4">
      <c r="A27" t="s">
        <v>20</v>
      </c>
      <c r="B27" s="3">
        <v>18</v>
      </c>
    </row>
    <row r="28" spans="1:3" x14ac:dyDescent="1.4">
      <c r="A28" t="s">
        <v>21</v>
      </c>
      <c r="B28" s="3">
        <v>9</v>
      </c>
      <c r="C28" t="s">
        <v>67</v>
      </c>
    </row>
    <row r="29" spans="1:3" x14ac:dyDescent="1.4">
      <c r="A29" t="s">
        <v>22</v>
      </c>
      <c r="B29" s="3">
        <v>5</v>
      </c>
    </row>
    <row r="30" spans="1:3" x14ac:dyDescent="1.4">
      <c r="A30" t="s">
        <v>24</v>
      </c>
      <c r="B30" s="3">
        <v>150000</v>
      </c>
    </row>
    <row r="31" spans="1:3" x14ac:dyDescent="1.4">
      <c r="A31" t="s">
        <v>207</v>
      </c>
      <c r="B31" s="4">
        <v>0.15</v>
      </c>
    </row>
    <row r="33" spans="1:3" x14ac:dyDescent="1.4">
      <c r="A33" t="s">
        <v>25</v>
      </c>
    </row>
    <row r="34" spans="1:3" x14ac:dyDescent="1.4">
      <c r="A34" t="s">
        <v>26</v>
      </c>
      <c r="B34" s="4">
        <v>0.02</v>
      </c>
      <c r="C34" t="s">
        <v>66</v>
      </c>
    </row>
    <row r="35" spans="1:3" x14ac:dyDescent="1.4">
      <c r="A35" t="s">
        <v>27</v>
      </c>
      <c r="B35" s="4">
        <v>3.5000000000000003E-2</v>
      </c>
      <c r="C35" t="s">
        <v>65</v>
      </c>
    </row>
    <row r="36" spans="1:3" x14ac:dyDescent="1.4">
      <c r="A36" t="s">
        <v>28</v>
      </c>
      <c r="B36" s="4">
        <v>0.04</v>
      </c>
      <c r="C36" t="s">
        <v>64</v>
      </c>
    </row>
    <row r="37" spans="1:3" x14ac:dyDescent="1.4">
      <c r="A37" t="s">
        <v>29</v>
      </c>
      <c r="B37" s="4">
        <v>0.05</v>
      </c>
      <c r="C37" t="s">
        <v>63</v>
      </c>
    </row>
    <row r="38" spans="1:3" x14ac:dyDescent="1.4">
      <c r="A38" t="s">
        <v>30</v>
      </c>
      <c r="B38" s="4">
        <v>0.03</v>
      </c>
    </row>
    <row r="39" spans="1:3" x14ac:dyDescent="1.4">
      <c r="A39" t="s">
        <v>31</v>
      </c>
      <c r="B39" s="4">
        <v>0.03</v>
      </c>
      <c r="C39" t="s">
        <v>62</v>
      </c>
    </row>
    <row r="41" spans="1:3" x14ac:dyDescent="1.4">
      <c r="A41" t="s">
        <v>32</v>
      </c>
    </row>
    <row r="42" spans="1:3" x14ac:dyDescent="1.4">
      <c r="A42" t="s">
        <v>33</v>
      </c>
      <c r="B42" s="4">
        <v>0.3</v>
      </c>
      <c r="C42" t="s">
        <v>61</v>
      </c>
    </row>
    <row r="43" spans="1:3" x14ac:dyDescent="1.4">
      <c r="A43" t="s">
        <v>34</v>
      </c>
      <c r="B43" s="4">
        <v>0.12</v>
      </c>
    </row>
    <row r="44" spans="1:3" x14ac:dyDescent="1.4">
      <c r="A44" t="s">
        <v>35</v>
      </c>
      <c r="B44" s="4">
        <v>0.15</v>
      </c>
    </row>
    <row r="45" spans="1:3" x14ac:dyDescent="1.4">
      <c r="A45" t="s">
        <v>36</v>
      </c>
      <c r="B45" s="4">
        <v>0.04</v>
      </c>
    </row>
    <row r="46" spans="1:3" x14ac:dyDescent="1.4">
      <c r="A46" t="s">
        <v>37</v>
      </c>
      <c r="B46" s="4">
        <v>0.03</v>
      </c>
    </row>
    <row r="47" spans="1:3" x14ac:dyDescent="1.4">
      <c r="A47" t="s">
        <v>38</v>
      </c>
      <c r="B47" s="4">
        <v>2.5000000000000001E-2</v>
      </c>
    </row>
    <row r="48" spans="1:3" x14ac:dyDescent="1.4">
      <c r="A48" t="s">
        <v>39</v>
      </c>
      <c r="B48" s="4">
        <v>0.02</v>
      </c>
    </row>
    <row r="49" spans="1:3" x14ac:dyDescent="1.4">
      <c r="A49" t="s">
        <v>40</v>
      </c>
      <c r="B49" s="4">
        <v>0.05</v>
      </c>
      <c r="C49" t="s">
        <v>60</v>
      </c>
    </row>
    <row r="50" spans="1:3" x14ac:dyDescent="1.4">
      <c r="A50" t="s">
        <v>41</v>
      </c>
      <c r="B50" s="4">
        <f>SUM(B42:B49)</f>
        <v>0.7350000000000001</v>
      </c>
    </row>
    <row r="52" spans="1:3" x14ac:dyDescent="1.4">
      <c r="A52" t="s">
        <v>42</v>
      </c>
    </row>
    <row r="53" spans="1:3" x14ac:dyDescent="1.4">
      <c r="A53" t="s">
        <v>43</v>
      </c>
      <c r="B53" s="4">
        <v>0.55000000000000004</v>
      </c>
      <c r="C53" t="s">
        <v>59</v>
      </c>
    </row>
    <row r="54" spans="1:3" x14ac:dyDescent="1.4">
      <c r="A54" t="s">
        <v>44</v>
      </c>
      <c r="B54" s="3">
        <f>B53*B13</f>
        <v>2915000.0000000005</v>
      </c>
    </row>
    <row r="55" spans="1:3" x14ac:dyDescent="1.4">
      <c r="A55" t="s">
        <v>45</v>
      </c>
      <c r="B55" s="4">
        <v>7.0000000000000007E-2</v>
      </c>
      <c r="C55" t="s">
        <v>58</v>
      </c>
    </row>
    <row r="56" spans="1:3" x14ac:dyDescent="1.4">
      <c r="A56" t="s">
        <v>46</v>
      </c>
      <c r="B56">
        <v>7</v>
      </c>
    </row>
    <row r="57" spans="1:3" x14ac:dyDescent="1.4">
      <c r="A57" t="s">
        <v>47</v>
      </c>
      <c r="B57">
        <v>25</v>
      </c>
    </row>
    <row r="58" spans="1:3" x14ac:dyDescent="1.4">
      <c r="A58" t="s">
        <v>48</v>
      </c>
      <c r="B58">
        <v>2</v>
      </c>
      <c r="C58" t="s">
        <v>57</v>
      </c>
    </row>
    <row r="60" spans="1:3" x14ac:dyDescent="1.4">
      <c r="A60" t="s">
        <v>49</v>
      </c>
    </row>
    <row r="61" spans="1:3" x14ac:dyDescent="1.4">
      <c r="A61" t="s">
        <v>50</v>
      </c>
      <c r="B61" s="4">
        <v>0.08</v>
      </c>
      <c r="C61" t="s">
        <v>56</v>
      </c>
    </row>
    <row r="62" spans="1:3" x14ac:dyDescent="1.4">
      <c r="A62" t="s">
        <v>51</v>
      </c>
      <c r="B62" s="4">
        <v>0.02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1D135-9445-4C81-A63F-5BC473829C85}">
  <dimension ref="A3:H35"/>
  <sheetViews>
    <sheetView topLeftCell="B1" zoomScale="37" workbookViewId="0">
      <selection activeCell="C10" sqref="C10:H10"/>
    </sheetView>
  </sheetViews>
  <sheetFormatPr defaultRowHeight="46.9" x14ac:dyDescent="1.4"/>
  <cols>
    <col min="1" max="1" width="33.9375" bestFit="1" customWidth="1"/>
    <col min="2" max="8" width="13.42578125" bestFit="1" customWidth="1"/>
  </cols>
  <sheetData>
    <row r="3" spans="1:8" x14ac:dyDescent="1.4">
      <c r="A3" t="s">
        <v>74</v>
      </c>
    </row>
    <row r="4" spans="1:8" x14ac:dyDescent="1.4">
      <c r="B4" s="5" t="s">
        <v>75</v>
      </c>
      <c r="C4" s="6" t="s">
        <v>76</v>
      </c>
      <c r="D4" s="6" t="s">
        <v>77</v>
      </c>
      <c r="E4" s="6" t="s">
        <v>78</v>
      </c>
      <c r="F4" s="6" t="s">
        <v>79</v>
      </c>
      <c r="G4" s="6" t="s">
        <v>80</v>
      </c>
      <c r="H4" s="6" t="s">
        <v>81</v>
      </c>
    </row>
    <row r="6" spans="1:8" x14ac:dyDescent="1.4">
      <c r="A6" t="s">
        <v>82</v>
      </c>
    </row>
    <row r="7" spans="1:8" x14ac:dyDescent="1.4">
      <c r="A7" t="s">
        <v>83</v>
      </c>
      <c r="B7" s="7">
        <f>Assumptions!B24*(1-Assumptions!B31)</f>
        <v>29750</v>
      </c>
      <c r="C7" s="7">
        <f>B7*(1+Assumptions!$B$34)</f>
        <v>30345</v>
      </c>
      <c r="D7" s="7">
        <f>C7*(1+Assumptions!$B$34)</f>
        <v>30951.9</v>
      </c>
      <c r="E7" s="7">
        <f>D7*(1+Assumptions!$B$34)</f>
        <v>31570.938000000002</v>
      </c>
      <c r="F7" s="7">
        <f>E7*(1+Assumptions!$B$34)</f>
        <v>32202.356760000002</v>
      </c>
      <c r="G7" s="7">
        <f>F7*(1+Assumptions!$B$34)</f>
        <v>32846.403895200005</v>
      </c>
      <c r="H7" s="7">
        <f>G7*(1+Assumptions!$B$34)</f>
        <v>33503.331973104003</v>
      </c>
    </row>
    <row r="8" spans="1:8" x14ac:dyDescent="1.4">
      <c r="A8" t="s">
        <v>84</v>
      </c>
      <c r="B8" s="2">
        <f>Assumptions!B25</f>
        <v>48</v>
      </c>
      <c r="C8" s="2">
        <f>B8*(1+Assumptions!$B$35)</f>
        <v>49.679999999999993</v>
      </c>
      <c r="D8" s="2">
        <f>C8*(1+Assumptions!$B$35)</f>
        <v>51.41879999999999</v>
      </c>
      <c r="E8" s="2">
        <f>D8*(1+Assumptions!$B$35)</f>
        <v>53.218457999999984</v>
      </c>
      <c r="F8" s="2">
        <f>E8*(1+Assumptions!$B$35)</f>
        <v>55.081104029999977</v>
      </c>
      <c r="G8" s="2">
        <f>F8*(1+Assumptions!$B$35)</f>
        <v>57.008942671049972</v>
      </c>
      <c r="H8" s="2">
        <f>G8*(1+Assumptions!$B$35)</f>
        <v>59.004255664536714</v>
      </c>
    </row>
    <row r="9" spans="1:8" x14ac:dyDescent="1.4">
      <c r="A9" t="s">
        <v>85</v>
      </c>
      <c r="B9" s="3">
        <f>B7*B8</f>
        <v>1428000</v>
      </c>
      <c r="C9" s="3">
        <f t="shared" ref="C9:H9" si="0">C7*C8</f>
        <v>1507539.5999999999</v>
      </c>
      <c r="D9" s="3">
        <f t="shared" si="0"/>
        <v>1591509.5557199998</v>
      </c>
      <c r="E9" s="3">
        <f t="shared" si="0"/>
        <v>1680156.6379736036</v>
      </c>
      <c r="F9" s="3">
        <f t="shared" si="0"/>
        <v>1773741.3627087332</v>
      </c>
      <c r="G9" s="3">
        <f t="shared" si="0"/>
        <v>1872538.7566116096</v>
      </c>
      <c r="H9" s="3">
        <f t="shared" si="0"/>
        <v>1976839.1653548758</v>
      </c>
    </row>
    <row r="10" spans="1:8" x14ac:dyDescent="1.4">
      <c r="A10" t="s">
        <v>86</v>
      </c>
      <c r="B10" s="3">
        <f>(B7*Assumptions!$B$27)*Assumptions!$B$26</f>
        <v>455175</v>
      </c>
      <c r="C10" s="3">
        <f>(C7*Assumptions!$B$27)*Assumptions!$B$26</f>
        <v>464278.5</v>
      </c>
      <c r="D10" s="3">
        <f>(D7*Assumptions!$B$27)*Assumptions!$B$26</f>
        <v>473564.07000000007</v>
      </c>
      <c r="E10" s="3">
        <f>(E7*Assumptions!$B$27)*Assumptions!$B$26</f>
        <v>483035.35140000004</v>
      </c>
      <c r="F10" s="3">
        <f>(F7*Assumptions!$B$27)*Assumptions!$B$26</f>
        <v>492696.05842800002</v>
      </c>
      <c r="G10" s="3">
        <f>(G7*Assumptions!$B$27)*Assumptions!$B$26</f>
        <v>502549.97959656006</v>
      </c>
      <c r="H10" s="3">
        <f>(H7*Assumptions!$B$27)*Assumptions!$B$26</f>
        <v>512600.97918849118</v>
      </c>
    </row>
    <row r="11" spans="1:8" x14ac:dyDescent="1.4">
      <c r="A11" t="s">
        <v>21</v>
      </c>
      <c r="B11" s="2">
        <f>Assumptions!B28</f>
        <v>9</v>
      </c>
      <c r="C11" s="9">
        <f>B11*(1+Assumptions!$B$36)</f>
        <v>9.36</v>
      </c>
      <c r="D11" s="9">
        <f>C11*(1+Assumptions!$B$36)</f>
        <v>9.7343999999999991</v>
      </c>
      <c r="E11" s="9">
        <f>D11*(1+Assumptions!$B$36)</f>
        <v>10.123775999999999</v>
      </c>
      <c r="F11" s="9">
        <f>E11*(1+Assumptions!$B$36)</f>
        <v>10.52872704</v>
      </c>
      <c r="G11" s="9">
        <f>F11*(1+Assumptions!$B$36)</f>
        <v>10.949876121600001</v>
      </c>
      <c r="H11" s="9">
        <f>G11*(1+Assumptions!$B$36)</f>
        <v>11.387871166464</v>
      </c>
    </row>
    <row r="12" spans="1:8" x14ac:dyDescent="1.4">
      <c r="A12" t="s">
        <v>87</v>
      </c>
      <c r="B12" s="9">
        <f>B11*B7</f>
        <v>267750</v>
      </c>
      <c r="C12" s="9">
        <f t="shared" ref="C12:H12" si="1">C11*C7</f>
        <v>284029.2</v>
      </c>
      <c r="D12" s="9">
        <f t="shared" si="1"/>
        <v>301298.17535999999</v>
      </c>
      <c r="E12" s="9">
        <f t="shared" si="1"/>
        <v>319617.10442188801</v>
      </c>
      <c r="F12" s="9">
        <f t="shared" si="1"/>
        <v>339049.82437073882</v>
      </c>
      <c r="G12" s="9">
        <f t="shared" si="1"/>
        <v>359664.05369247979</v>
      </c>
      <c r="H12" s="9">
        <f t="shared" si="1"/>
        <v>381531.62815698254</v>
      </c>
    </row>
    <row r="13" spans="1:8" x14ac:dyDescent="1.4">
      <c r="A13" t="s">
        <v>22</v>
      </c>
      <c r="B13" s="2">
        <f>Assumptions!B29</f>
        <v>5</v>
      </c>
      <c r="C13" s="9">
        <f>B13*(1+Assumptions!$B$37)</f>
        <v>5.25</v>
      </c>
      <c r="D13" s="9">
        <f>C13*(1+Assumptions!$B$37)</f>
        <v>5.5125000000000002</v>
      </c>
      <c r="E13" s="9">
        <f>D13*(1+Assumptions!$B$37)</f>
        <v>5.7881250000000009</v>
      </c>
      <c r="F13" s="9">
        <f>E13*(1+Assumptions!$B$37)</f>
        <v>6.0775312500000007</v>
      </c>
      <c r="G13" s="9">
        <f>F13*(1+Assumptions!$B$37)</f>
        <v>6.3814078125000009</v>
      </c>
      <c r="H13" s="9">
        <f>G13*(1+Assumptions!$B$37)</f>
        <v>6.7004782031250016</v>
      </c>
    </row>
    <row r="14" spans="1:8" x14ac:dyDescent="1.4">
      <c r="A14" t="s">
        <v>88</v>
      </c>
      <c r="B14" s="8">
        <f>B13*B7</f>
        <v>148750</v>
      </c>
      <c r="C14" s="8">
        <f t="shared" ref="C14:H14" si="2">C13*C7</f>
        <v>159311.25</v>
      </c>
      <c r="D14" s="8">
        <f t="shared" si="2"/>
        <v>170622.34875</v>
      </c>
      <c r="E14" s="8">
        <f t="shared" si="2"/>
        <v>182736.53551125003</v>
      </c>
      <c r="F14" s="8">
        <f t="shared" si="2"/>
        <v>195710.82953254879</v>
      </c>
      <c r="G14" s="8">
        <f t="shared" si="2"/>
        <v>209606.29842935977</v>
      </c>
      <c r="H14" s="8">
        <f t="shared" si="2"/>
        <v>224488.34561784432</v>
      </c>
    </row>
    <row r="15" spans="1:8" x14ac:dyDescent="1.4">
      <c r="A15" t="s">
        <v>89</v>
      </c>
      <c r="B15" s="3">
        <f>Assumptions!B30</f>
        <v>150000</v>
      </c>
      <c r="C15" s="8">
        <f>B15*(1+Assumptions!$B$38)</f>
        <v>154500</v>
      </c>
      <c r="D15" s="8">
        <f>C15*(1+Assumptions!$B$38)</f>
        <v>159135</v>
      </c>
      <c r="E15" s="8">
        <f>D15*(1+Assumptions!$B$38)</f>
        <v>163909.05000000002</v>
      </c>
      <c r="F15" s="8">
        <f>E15*(1+Assumptions!$B$38)</f>
        <v>168826.32150000002</v>
      </c>
      <c r="G15" s="8">
        <f>F15*(1+Assumptions!$B$38)</f>
        <v>173891.11114500003</v>
      </c>
      <c r="H15" s="8">
        <f>G15*(1+Assumptions!$B$38)</f>
        <v>179107.84447935002</v>
      </c>
    </row>
    <row r="16" spans="1:8" x14ac:dyDescent="1.4">
      <c r="A16" t="s">
        <v>90</v>
      </c>
      <c r="B16" s="8">
        <f>B9+B10+B12+B14+B15</f>
        <v>2449675</v>
      </c>
      <c r="C16" s="8">
        <f t="shared" ref="C16:H16" si="3">C9+C10+C12+C14+C15</f>
        <v>2569658.5499999998</v>
      </c>
      <c r="D16" s="8">
        <f t="shared" si="3"/>
        <v>2696129.1498299995</v>
      </c>
      <c r="E16" s="8">
        <f t="shared" si="3"/>
        <v>2829454.6793067418</v>
      </c>
      <c r="F16" s="8">
        <f t="shared" si="3"/>
        <v>2970024.3965400211</v>
      </c>
      <c r="G16" s="8">
        <f t="shared" si="3"/>
        <v>3118250.199475009</v>
      </c>
      <c r="H16" s="8">
        <f t="shared" si="3"/>
        <v>3274567.9627975435</v>
      </c>
    </row>
    <row r="17" spans="1:8" x14ac:dyDescent="1.4">
      <c r="B17" s="8"/>
      <c r="C17" s="8"/>
      <c r="D17" s="8"/>
      <c r="E17" s="8"/>
      <c r="F17" s="8"/>
      <c r="G17" s="8"/>
      <c r="H17" s="8"/>
    </row>
    <row r="18" spans="1:8" x14ac:dyDescent="1.4">
      <c r="A18" t="s">
        <v>91</v>
      </c>
      <c r="B18" s="8"/>
      <c r="C18" s="8"/>
      <c r="D18" s="8"/>
      <c r="E18" s="8"/>
      <c r="F18" s="8"/>
      <c r="G18" s="8"/>
      <c r="H18" s="8"/>
    </row>
    <row r="19" spans="1:8" x14ac:dyDescent="1.4">
      <c r="A19" t="s">
        <v>92</v>
      </c>
      <c r="B19" s="8">
        <f>Assumptions!$B$42*'Operating Model'!B16</f>
        <v>734902.5</v>
      </c>
      <c r="C19" s="8">
        <f>Assumptions!$B$42*'Operating Model'!C16</f>
        <v>770897.56499999994</v>
      </c>
      <c r="D19" s="8">
        <f>Assumptions!$B$42*'Operating Model'!D16</f>
        <v>808838.74494899984</v>
      </c>
      <c r="E19" s="8">
        <f>Assumptions!$B$42*'Operating Model'!E16</f>
        <v>848836.40379202249</v>
      </c>
      <c r="F19" s="8">
        <f>Assumptions!$B$42*'Operating Model'!F16</f>
        <v>891007.31896200625</v>
      </c>
      <c r="G19" s="8">
        <f>Assumptions!$B$42*'Operating Model'!G16</f>
        <v>935475.0598425027</v>
      </c>
      <c r="H19" s="8">
        <f>Assumptions!$B$42*'Operating Model'!H16</f>
        <v>982370.388839263</v>
      </c>
    </row>
    <row r="20" spans="1:8" x14ac:dyDescent="1.4">
      <c r="A20" t="s">
        <v>93</v>
      </c>
      <c r="B20" s="8">
        <f>Assumptions!$B$43*'Operating Model'!B16</f>
        <v>293961</v>
      </c>
      <c r="C20" s="8">
        <f>Assumptions!$B$43*'Operating Model'!C16</f>
        <v>308359.02599999995</v>
      </c>
      <c r="D20" s="8">
        <f>Assumptions!$B$43*'Operating Model'!D16</f>
        <v>323535.49797959992</v>
      </c>
      <c r="E20" s="8">
        <f>Assumptions!$B$43*'Operating Model'!E16</f>
        <v>339534.56151680899</v>
      </c>
      <c r="F20" s="8">
        <f>Assumptions!$B$43*'Operating Model'!F16</f>
        <v>356402.9275848025</v>
      </c>
      <c r="G20" s="8">
        <f>Assumptions!$B$43*'Operating Model'!G16</f>
        <v>374190.02393700107</v>
      </c>
      <c r="H20" s="8">
        <f>Assumptions!$B$43*'Operating Model'!H16</f>
        <v>392948.15553570521</v>
      </c>
    </row>
    <row r="21" spans="1:8" x14ac:dyDescent="1.4">
      <c r="A21" t="s">
        <v>94</v>
      </c>
      <c r="B21" s="8">
        <f>Assumptions!$B$44*'Operating Model'!B16</f>
        <v>367451.25</v>
      </c>
      <c r="C21" s="8">
        <f>Assumptions!$B$44*'Operating Model'!C16</f>
        <v>385448.78249999997</v>
      </c>
      <c r="D21" s="8">
        <f>Assumptions!$B$44*'Operating Model'!D16</f>
        <v>404419.37247449992</v>
      </c>
      <c r="E21" s="8">
        <f>Assumptions!$B$44*'Operating Model'!E16</f>
        <v>424418.20189601125</v>
      </c>
      <c r="F21" s="8">
        <f>Assumptions!$B$44*'Operating Model'!F16</f>
        <v>445503.65948100312</v>
      </c>
      <c r="G21" s="8">
        <f>Assumptions!$B$44*'Operating Model'!G16</f>
        <v>467737.52992125135</v>
      </c>
      <c r="H21" s="8">
        <f>Assumptions!$B$44*'Operating Model'!H16</f>
        <v>491185.1944196315</v>
      </c>
    </row>
    <row r="22" spans="1:8" x14ac:dyDescent="1.4">
      <c r="A22" t="s">
        <v>95</v>
      </c>
      <c r="B22" s="8">
        <f>Assumptions!$B$45*'Operating Model'!B16</f>
        <v>97987</v>
      </c>
      <c r="C22" s="8">
        <f>Assumptions!$B$45*'Operating Model'!C16</f>
        <v>102786.34199999999</v>
      </c>
      <c r="D22" s="8">
        <f>Assumptions!$B$45*'Operating Model'!D16</f>
        <v>107845.16599319999</v>
      </c>
      <c r="E22" s="8">
        <f>Assumptions!$B$45*'Operating Model'!E16</f>
        <v>113178.18717226968</v>
      </c>
      <c r="F22" s="8">
        <f>Assumptions!$B$45*'Operating Model'!F16</f>
        <v>118800.97586160085</v>
      </c>
      <c r="G22" s="8">
        <f>Assumptions!$B$45*'Operating Model'!G16</f>
        <v>124730.00797900037</v>
      </c>
      <c r="H22" s="8">
        <f>Assumptions!$B$45*'Operating Model'!H16</f>
        <v>130982.71851190174</v>
      </c>
    </row>
    <row r="23" spans="1:8" x14ac:dyDescent="1.4">
      <c r="A23" t="s">
        <v>96</v>
      </c>
      <c r="B23" s="8">
        <f>Assumptions!$B$46*'Operating Model'!B16</f>
        <v>73490.25</v>
      </c>
      <c r="C23" s="8">
        <f>Assumptions!$B$46*'Operating Model'!C16</f>
        <v>77089.756499999989</v>
      </c>
      <c r="D23" s="8">
        <f>Assumptions!$B$46*'Operating Model'!D16</f>
        <v>80883.874494899981</v>
      </c>
      <c r="E23" s="8">
        <f>Assumptions!$B$46*'Operating Model'!E16</f>
        <v>84883.640379202247</v>
      </c>
      <c r="F23" s="8">
        <f>Assumptions!$B$46*'Operating Model'!F16</f>
        <v>89100.731896200625</v>
      </c>
      <c r="G23" s="8">
        <f>Assumptions!$B$46*'Operating Model'!G16</f>
        <v>93547.505984250267</v>
      </c>
      <c r="H23" s="8">
        <f>Assumptions!$B$46*'Operating Model'!H16</f>
        <v>98237.038883926303</v>
      </c>
    </row>
    <row r="24" spans="1:8" x14ac:dyDescent="1.4">
      <c r="A24" t="s">
        <v>97</v>
      </c>
      <c r="B24" s="8">
        <f>Assumptions!$B$47*'Operating Model'!B16</f>
        <v>61241.875</v>
      </c>
      <c r="C24" s="8">
        <f>Assumptions!$B$47*'Operating Model'!C16</f>
        <v>64241.463749999995</v>
      </c>
      <c r="D24" s="8">
        <f>Assumptions!$B$47*'Operating Model'!D16</f>
        <v>67403.228745749992</v>
      </c>
      <c r="E24" s="8">
        <f>Assumptions!$B$47*'Operating Model'!E16</f>
        <v>70736.366982668551</v>
      </c>
      <c r="F24" s="8">
        <f>Assumptions!$B$47*'Operating Model'!F16</f>
        <v>74250.609913500535</v>
      </c>
      <c r="G24" s="8">
        <f>Assumptions!$B$47*'Operating Model'!G16</f>
        <v>77956.254986875225</v>
      </c>
      <c r="H24" s="8">
        <f>Assumptions!$B$47*'Operating Model'!H16</f>
        <v>81864.199069938593</v>
      </c>
    </row>
    <row r="25" spans="1:8" x14ac:dyDescent="1.4">
      <c r="A25" t="s">
        <v>98</v>
      </c>
      <c r="B25" s="8">
        <f>Assumptions!$B$48*'Operating Model'!B16</f>
        <v>48993.5</v>
      </c>
      <c r="C25" s="8">
        <f>Assumptions!$B$48*'Operating Model'!C16</f>
        <v>51393.170999999995</v>
      </c>
      <c r="D25" s="8">
        <f>Assumptions!$B$48*'Operating Model'!D16</f>
        <v>53922.582996599995</v>
      </c>
      <c r="E25" s="8">
        <f>Assumptions!$B$48*'Operating Model'!E16</f>
        <v>56589.093586134841</v>
      </c>
      <c r="F25" s="8">
        <f>Assumptions!$B$48*'Operating Model'!F16</f>
        <v>59400.487930800424</v>
      </c>
      <c r="G25" s="8">
        <f>Assumptions!$B$48*'Operating Model'!G16</f>
        <v>62365.003989500183</v>
      </c>
      <c r="H25" s="8">
        <f>Assumptions!$B$48*'Operating Model'!H16</f>
        <v>65491.359255950869</v>
      </c>
    </row>
    <row r="26" spans="1:8" x14ac:dyDescent="1.4">
      <c r="A26" t="s">
        <v>99</v>
      </c>
      <c r="B26" s="8">
        <f>Assumptions!$B$49*'Operating Model'!B16</f>
        <v>122483.75</v>
      </c>
      <c r="C26" s="8">
        <f>Assumptions!$B$49*'Operating Model'!C16</f>
        <v>128482.92749999999</v>
      </c>
      <c r="D26" s="8">
        <f>Assumptions!$B$49*'Operating Model'!D16</f>
        <v>134806.45749149998</v>
      </c>
      <c r="E26" s="8">
        <f>Assumptions!$B$49*'Operating Model'!E16</f>
        <v>141472.7339653371</v>
      </c>
      <c r="F26" s="8">
        <f>Assumptions!$B$49*'Operating Model'!F16</f>
        <v>148501.21982700107</v>
      </c>
      <c r="G26" s="8">
        <f>Assumptions!$B$49*'Operating Model'!G16</f>
        <v>155912.50997375045</v>
      </c>
      <c r="H26" s="8">
        <f>Assumptions!$B$49*'Operating Model'!H16</f>
        <v>163728.39813987719</v>
      </c>
    </row>
    <row r="27" spans="1:8" x14ac:dyDescent="1.4">
      <c r="A27" t="s">
        <v>100</v>
      </c>
      <c r="B27" s="8">
        <f>SUM(B19:B26)</f>
        <v>1800511.125</v>
      </c>
      <c r="C27" s="8">
        <f t="shared" ref="C27:H27" si="4">SUM(C19:C26)</f>
        <v>1888699.0342499998</v>
      </c>
      <c r="D27" s="8">
        <f t="shared" si="4"/>
        <v>1981654.9251250497</v>
      </c>
      <c r="E27" s="8">
        <f t="shared" si="4"/>
        <v>2079649.1892904553</v>
      </c>
      <c r="F27" s="8">
        <f t="shared" si="4"/>
        <v>2182967.9314569156</v>
      </c>
      <c r="G27" s="8">
        <f t="shared" si="4"/>
        <v>2291913.8966141315</v>
      </c>
      <c r="H27" s="8">
        <f t="shared" si="4"/>
        <v>2406807.4526561946</v>
      </c>
    </row>
    <row r="30" spans="1:8" x14ac:dyDescent="1.4">
      <c r="A30" t="s">
        <v>101</v>
      </c>
      <c r="B30" s="8">
        <f>B16-B27</f>
        <v>649163.875</v>
      </c>
      <c r="C30" s="8">
        <f t="shared" ref="C30:H30" si="5">C16-C27</f>
        <v>680959.51575000002</v>
      </c>
      <c r="D30" s="8">
        <f t="shared" si="5"/>
        <v>714474.22470494988</v>
      </c>
      <c r="E30" s="8">
        <f t="shared" si="5"/>
        <v>749805.49001628649</v>
      </c>
      <c r="F30" s="8">
        <f t="shared" si="5"/>
        <v>787056.46508310549</v>
      </c>
      <c r="G30" s="8">
        <f t="shared" si="5"/>
        <v>826336.30286087748</v>
      </c>
      <c r="H30" s="8">
        <f t="shared" si="5"/>
        <v>867760.51014134893</v>
      </c>
    </row>
    <row r="32" spans="1:8" x14ac:dyDescent="1.4">
      <c r="A32" t="s">
        <v>102</v>
      </c>
      <c r="B32" t="s">
        <v>105</v>
      </c>
      <c r="C32" s="10">
        <f>C30/B30-1</f>
        <v>4.8979374815026455E-2</v>
      </c>
      <c r="D32" s="10">
        <f t="shared" ref="D32:H32" si="6">D30/C30-1</f>
        <v>4.9216889080457626E-2</v>
      </c>
      <c r="E32" s="10">
        <f t="shared" si="6"/>
        <v>4.945072066935241E-2</v>
      </c>
      <c r="F32" s="10">
        <f t="shared" si="6"/>
        <v>4.968085131786637E-2</v>
      </c>
      <c r="G32" s="10">
        <f t="shared" si="6"/>
        <v>4.990726780145871E-2</v>
      </c>
      <c r="H32" s="10">
        <f t="shared" si="6"/>
        <v>5.0129961780761345E-2</v>
      </c>
    </row>
    <row r="33" spans="1:8" x14ac:dyDescent="1.4">
      <c r="A33" t="s">
        <v>103</v>
      </c>
      <c r="B33" s="4">
        <f>B30/B16</f>
        <v>0.26500000000000001</v>
      </c>
      <c r="C33" s="4">
        <f t="shared" ref="C33:H33" si="7">C30/C16</f>
        <v>0.26500000000000001</v>
      </c>
      <c r="D33" s="4">
        <f t="shared" si="7"/>
        <v>0.26500000000000001</v>
      </c>
      <c r="E33" s="4">
        <f t="shared" si="7"/>
        <v>0.26499999999999996</v>
      </c>
      <c r="F33" s="4">
        <f t="shared" si="7"/>
        <v>0.26499999999999996</v>
      </c>
      <c r="G33" s="4">
        <f t="shared" si="7"/>
        <v>0.26500000000000001</v>
      </c>
      <c r="H33" s="4">
        <f t="shared" si="7"/>
        <v>0.26499999999999996</v>
      </c>
    </row>
    <row r="35" spans="1:8" x14ac:dyDescent="1.4">
      <c r="A35" t="s">
        <v>104</v>
      </c>
      <c r="B35" s="4">
        <f>'Operating Model'!B30/Assumptions!$B$13</f>
        <v>0.12248375</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E411-9D11-4F4F-B7F8-65C40E227C6A}">
  <dimension ref="A3:I13"/>
  <sheetViews>
    <sheetView topLeftCell="A2" zoomScale="50" workbookViewId="0">
      <selection activeCell="A14" sqref="A14"/>
    </sheetView>
  </sheetViews>
  <sheetFormatPr defaultRowHeight="46.9" x14ac:dyDescent="1.4"/>
  <cols>
    <col min="1" max="1" width="46.26171875" bestFit="1" customWidth="1"/>
    <col min="2" max="9" width="10.79296875" bestFit="1" customWidth="1"/>
  </cols>
  <sheetData>
    <row r="3" spans="1:9" x14ac:dyDescent="1.4">
      <c r="A3" t="s">
        <v>106</v>
      </c>
    </row>
    <row r="4" spans="1:9" x14ac:dyDescent="1.4">
      <c r="B4" t="s">
        <v>107</v>
      </c>
      <c r="C4" t="s">
        <v>75</v>
      </c>
      <c r="D4" t="s">
        <v>76</v>
      </c>
      <c r="E4" t="s">
        <v>77</v>
      </c>
      <c r="F4" t="s">
        <v>78</v>
      </c>
      <c r="G4" t="s">
        <v>79</v>
      </c>
      <c r="H4" t="s">
        <v>80</v>
      </c>
      <c r="I4" t="s">
        <v>81</v>
      </c>
    </row>
    <row r="6" spans="1:9" x14ac:dyDescent="1.4">
      <c r="A6" t="s">
        <v>108</v>
      </c>
    </row>
    <row r="7" spans="1:9" x14ac:dyDescent="1.4">
      <c r="A7" t="s">
        <v>109</v>
      </c>
      <c r="B7" s="3">
        <f>SUM(C7:I7)</f>
        <v>200000</v>
      </c>
      <c r="C7" s="3">
        <v>200000</v>
      </c>
      <c r="D7" s="3">
        <v>0</v>
      </c>
      <c r="E7" s="3">
        <v>0</v>
      </c>
      <c r="F7" s="3">
        <v>0</v>
      </c>
      <c r="G7" s="3">
        <v>0</v>
      </c>
      <c r="H7" s="3">
        <v>0</v>
      </c>
      <c r="I7" s="3">
        <v>0</v>
      </c>
    </row>
    <row r="8" spans="1:9" x14ac:dyDescent="1.4">
      <c r="A8" t="s">
        <v>110</v>
      </c>
      <c r="B8" s="3">
        <f t="shared" ref="B8:B11" si="0">SUM(C8:I8)</f>
        <v>300000</v>
      </c>
      <c r="C8" s="3">
        <v>300000</v>
      </c>
      <c r="D8" s="3">
        <v>0</v>
      </c>
      <c r="E8" s="3">
        <v>0</v>
      </c>
      <c r="F8" s="3">
        <v>0</v>
      </c>
      <c r="G8" s="3">
        <v>0</v>
      </c>
      <c r="H8" s="3">
        <v>0</v>
      </c>
      <c r="I8" s="3">
        <v>0</v>
      </c>
    </row>
    <row r="9" spans="1:9" x14ac:dyDescent="1.4">
      <c r="A9" t="s">
        <v>111</v>
      </c>
      <c r="B9" s="3">
        <f t="shared" si="0"/>
        <v>400000</v>
      </c>
      <c r="C9" s="3">
        <v>0</v>
      </c>
      <c r="D9" s="3">
        <v>200000</v>
      </c>
      <c r="E9" s="3">
        <v>200000</v>
      </c>
      <c r="F9" s="3">
        <v>0</v>
      </c>
      <c r="G9" s="3">
        <v>0</v>
      </c>
      <c r="H9" s="3">
        <v>0</v>
      </c>
      <c r="I9" s="3">
        <v>0</v>
      </c>
    </row>
    <row r="10" spans="1:9" x14ac:dyDescent="1.4">
      <c r="A10" t="s">
        <v>112</v>
      </c>
      <c r="B10" s="3">
        <f t="shared" si="0"/>
        <v>200000</v>
      </c>
      <c r="C10" s="3">
        <v>0</v>
      </c>
      <c r="D10" s="3">
        <v>100000</v>
      </c>
      <c r="E10" s="3">
        <v>100000</v>
      </c>
      <c r="F10" s="3">
        <v>0</v>
      </c>
      <c r="G10" s="3">
        <v>0</v>
      </c>
      <c r="H10" s="3">
        <v>0</v>
      </c>
      <c r="I10" s="3">
        <v>0</v>
      </c>
    </row>
    <row r="11" spans="1:9" x14ac:dyDescent="1.4">
      <c r="A11" t="s">
        <v>113</v>
      </c>
      <c r="B11" s="3">
        <f t="shared" si="0"/>
        <v>1100000</v>
      </c>
      <c r="C11" s="3">
        <f>SUM(C7:C10)</f>
        <v>500000</v>
      </c>
      <c r="D11" s="3">
        <f t="shared" ref="D11:I11" si="1">SUM(D7:D10)</f>
        <v>300000</v>
      </c>
      <c r="E11" s="3">
        <f t="shared" si="1"/>
        <v>300000</v>
      </c>
      <c r="F11" s="3">
        <f t="shared" si="1"/>
        <v>0</v>
      </c>
      <c r="G11" s="3">
        <f t="shared" si="1"/>
        <v>0</v>
      </c>
      <c r="H11" s="3">
        <f t="shared" si="1"/>
        <v>0</v>
      </c>
      <c r="I11" s="3">
        <f t="shared" si="1"/>
        <v>0</v>
      </c>
    </row>
    <row r="13" spans="1:9" x14ac:dyDescent="1.4">
      <c r="A13" t="s">
        <v>215</v>
      </c>
      <c r="C13" s="8">
        <f>SUM($C$11:C11)</f>
        <v>500000</v>
      </c>
      <c r="D13" s="8">
        <f>SUM($C$11:D11)</f>
        <v>800000</v>
      </c>
      <c r="E13" s="8">
        <f>SUM($C$11:E11)</f>
        <v>1100000</v>
      </c>
      <c r="F13" s="8">
        <f>SUM($C$11:F11)</f>
        <v>1100000</v>
      </c>
      <c r="G13" s="8">
        <f>SUM($C$11:G11)</f>
        <v>1100000</v>
      </c>
      <c r="H13" s="8">
        <f>SUM($C$11:H11)</f>
        <v>1100000</v>
      </c>
      <c r="I13" s="8">
        <f>SUM($C$11:I11)</f>
        <v>1100000</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3851-F087-4A8F-BDD3-DA02127940B2}">
  <dimension ref="A3:H33"/>
  <sheetViews>
    <sheetView zoomScale="47" workbookViewId="0">
      <selection activeCell="B32" sqref="B32:H32"/>
    </sheetView>
  </sheetViews>
  <sheetFormatPr defaultRowHeight="46.9" x14ac:dyDescent="1.4"/>
  <cols>
    <col min="1" max="1" width="24.18359375" bestFit="1" customWidth="1"/>
    <col min="2" max="7" width="12.40625" bestFit="1" customWidth="1"/>
    <col min="8" max="8" width="13.32421875" bestFit="1" customWidth="1"/>
  </cols>
  <sheetData>
    <row r="3" spans="1:2" x14ac:dyDescent="1.4">
      <c r="A3" t="s">
        <v>114</v>
      </c>
    </row>
    <row r="5" spans="1:2" x14ac:dyDescent="1.4">
      <c r="A5" t="s">
        <v>115</v>
      </c>
    </row>
    <row r="6" spans="1:2" x14ac:dyDescent="1.4">
      <c r="A6" t="s">
        <v>9</v>
      </c>
      <c r="B6" s="3">
        <f>Assumptions!B13</f>
        <v>5300000</v>
      </c>
    </row>
    <row r="7" spans="1:2" x14ac:dyDescent="1.4">
      <c r="A7" t="s">
        <v>10</v>
      </c>
      <c r="B7" s="3">
        <f>Assumptions!B14</f>
        <v>106000</v>
      </c>
    </row>
    <row r="8" spans="1:2" x14ac:dyDescent="1.4">
      <c r="A8" t="s">
        <v>11</v>
      </c>
      <c r="B8" s="3">
        <f>Assumptions!B15</f>
        <v>500000</v>
      </c>
    </row>
    <row r="9" spans="1:2" x14ac:dyDescent="1.4">
      <c r="A9" t="s">
        <v>116</v>
      </c>
      <c r="B9" s="3">
        <f>SUM(B6:B8)</f>
        <v>5906000</v>
      </c>
    </row>
    <row r="11" spans="1:2" x14ac:dyDescent="1.4">
      <c r="A11" t="s">
        <v>117</v>
      </c>
    </row>
    <row r="12" spans="1:2" x14ac:dyDescent="1.4">
      <c r="A12" t="s">
        <v>118</v>
      </c>
      <c r="B12" s="3">
        <f>Assumptions!B54</f>
        <v>2915000.0000000005</v>
      </c>
    </row>
    <row r="13" spans="1:2" x14ac:dyDescent="1.4">
      <c r="A13" t="s">
        <v>119</v>
      </c>
      <c r="B13" s="8">
        <f>B9-B12</f>
        <v>2990999.9999999995</v>
      </c>
    </row>
    <row r="14" spans="1:2" x14ac:dyDescent="1.4">
      <c r="A14" t="s">
        <v>120</v>
      </c>
      <c r="B14" s="8">
        <f>B12+B13</f>
        <v>5906000</v>
      </c>
    </row>
    <row r="17" spans="1:8" x14ac:dyDescent="1.4">
      <c r="A17" t="s">
        <v>121</v>
      </c>
    </row>
    <row r="18" spans="1:8" x14ac:dyDescent="1.4">
      <c r="A18" t="s">
        <v>122</v>
      </c>
      <c r="B18" s="4">
        <f>B12/B6</f>
        <v>0.55000000000000004</v>
      </c>
    </row>
    <row r="19" spans="1:8" x14ac:dyDescent="1.4">
      <c r="A19" t="s">
        <v>123</v>
      </c>
      <c r="B19" s="4">
        <f>B12/B9</f>
        <v>0.4935658652218084</v>
      </c>
    </row>
    <row r="20" spans="1:8" x14ac:dyDescent="1.4">
      <c r="A20" t="s">
        <v>124</v>
      </c>
      <c r="B20" s="11">
        <f>-PMT(Assumptions!B55,Assumptions!B57-Assumptions!B58,Assumptions!B54)</f>
        <v>258601.09502523174</v>
      </c>
    </row>
    <row r="22" spans="1:8" x14ac:dyDescent="1.4">
      <c r="A22" t="s">
        <v>125</v>
      </c>
    </row>
    <row r="23" spans="1:8" x14ac:dyDescent="1.4">
      <c r="A23" t="s">
        <v>126</v>
      </c>
      <c r="B23" s="7">
        <v>1</v>
      </c>
      <c r="C23" s="7">
        <v>2</v>
      </c>
      <c r="D23" s="7">
        <v>3</v>
      </c>
      <c r="E23" s="7">
        <v>4</v>
      </c>
      <c r="F23" s="7">
        <v>5</v>
      </c>
      <c r="G23" s="7">
        <v>6</v>
      </c>
      <c r="H23" s="7">
        <v>7</v>
      </c>
    </row>
    <row r="25" spans="1:8" x14ac:dyDescent="1.4">
      <c r="A25" t="s">
        <v>127</v>
      </c>
      <c r="B25" s="8">
        <f>B12</f>
        <v>2915000.0000000005</v>
      </c>
      <c r="C25" s="8">
        <f>B29</f>
        <v>2915000.0000000005</v>
      </c>
      <c r="D25" s="8">
        <f t="shared" ref="D25:H25" si="0">C29</f>
        <v>2915000.0000000005</v>
      </c>
      <c r="E25" s="8">
        <f t="shared" si="0"/>
        <v>2860448.9049747689</v>
      </c>
      <c r="F25" s="8">
        <f t="shared" si="0"/>
        <v>2802079.2332977708</v>
      </c>
      <c r="G25" s="8">
        <f t="shared" si="0"/>
        <v>2739623.6846033828</v>
      </c>
      <c r="H25" s="8">
        <f t="shared" si="0"/>
        <v>2672796.247500388</v>
      </c>
    </row>
    <row r="26" spans="1:8" x14ac:dyDescent="1.4">
      <c r="A26" t="s">
        <v>128</v>
      </c>
      <c r="B26" s="3">
        <f>'Sources &amp; Uses + Debt Schedule'!B25*Assumptions!$B$55</f>
        <v>204050.00000000006</v>
      </c>
      <c r="C26" s="3">
        <f>'Sources &amp; Uses + Debt Schedule'!C25*Assumptions!$B$55</f>
        <v>204050.00000000006</v>
      </c>
      <c r="D26" s="3">
        <f>'Sources &amp; Uses + Debt Schedule'!D25*Assumptions!$B$55</f>
        <v>204050.00000000006</v>
      </c>
      <c r="E26" s="3">
        <f>'Sources &amp; Uses + Debt Schedule'!E25*Assumptions!$B$55</f>
        <v>200231.42334823383</v>
      </c>
      <c r="F26" s="3">
        <f>'Sources &amp; Uses + Debt Schedule'!F25*Assumptions!$B$55</f>
        <v>196145.54633084396</v>
      </c>
      <c r="G26" s="3">
        <f>'Sources &amp; Uses + Debt Schedule'!G25*Assumptions!$B$55</f>
        <v>191773.65792223683</v>
      </c>
      <c r="H26" s="3">
        <f>'Sources &amp; Uses + Debt Schedule'!H25*Assumptions!$B$55</f>
        <v>187095.73732502718</v>
      </c>
    </row>
    <row r="27" spans="1:8" x14ac:dyDescent="1.4">
      <c r="A27" t="s">
        <v>129</v>
      </c>
      <c r="B27" s="3">
        <f>IF(B23&lt;Assumptions!$B$58,0,'Sources &amp; Uses + Debt Schedule'!$B$20-'Sources &amp; Uses + Debt Schedule'!B26)</f>
        <v>0</v>
      </c>
      <c r="C27" s="3">
        <f>IF(C23&lt;=Assumptions!$B$58,0,'Sources &amp; Uses + Debt Schedule'!$B$20-'Sources &amp; Uses + Debt Schedule'!C26)</f>
        <v>0</v>
      </c>
      <c r="D27" s="3">
        <f>IF(D23&lt;Assumptions!$B$58,0,'Sources &amp; Uses + Debt Schedule'!$B$20-'Sources &amp; Uses + Debt Schedule'!D26)</f>
        <v>54551.095025231683</v>
      </c>
      <c r="E27" s="3">
        <f>IF(E23&lt;Assumptions!$B$58,0,'Sources &amp; Uses + Debt Schedule'!$B$20-'Sources &amp; Uses + Debt Schedule'!E26)</f>
        <v>58369.67167699791</v>
      </c>
      <c r="F27" s="3">
        <f>IF(F23&lt;Assumptions!$B$58,0,'Sources &amp; Uses + Debt Schedule'!$B$20-'Sources &amp; Uses + Debt Schedule'!F26)</f>
        <v>62455.548694387777</v>
      </c>
      <c r="G27" s="3">
        <f>IF(G23&lt;Assumptions!$B$58,0,'Sources &amp; Uses + Debt Schedule'!$B$20-'Sources &amp; Uses + Debt Schedule'!G26)</f>
        <v>66827.437102994911</v>
      </c>
      <c r="H27" s="3">
        <f>IF(H23&lt;Assumptions!$B$58,0,'Sources &amp; Uses + Debt Schedule'!$B$20-'Sources &amp; Uses + Debt Schedule'!H26)</f>
        <v>71505.357700204564</v>
      </c>
    </row>
    <row r="28" spans="1:8" x14ac:dyDescent="1.4">
      <c r="A28" t="s">
        <v>130</v>
      </c>
      <c r="B28" s="3">
        <f>B26+B27</f>
        <v>204050.00000000006</v>
      </c>
      <c r="C28" s="3">
        <f>C26+C27</f>
        <v>204050.00000000006</v>
      </c>
      <c r="D28" s="3">
        <f t="shared" ref="D28:H28" si="1">D26+D27</f>
        <v>258601.09502523174</v>
      </c>
      <c r="E28" s="3">
        <f t="shared" si="1"/>
        <v>258601.09502523174</v>
      </c>
      <c r="F28" s="3">
        <f t="shared" si="1"/>
        <v>258601.09502523174</v>
      </c>
      <c r="G28" s="3">
        <f t="shared" si="1"/>
        <v>258601.09502523174</v>
      </c>
      <c r="H28" s="3">
        <f t="shared" si="1"/>
        <v>258601.09502523174</v>
      </c>
    </row>
    <row r="29" spans="1:8" x14ac:dyDescent="1.4">
      <c r="A29" t="s">
        <v>131</v>
      </c>
      <c r="B29" s="8">
        <f>B25-B27</f>
        <v>2915000.0000000005</v>
      </c>
      <c r="C29" s="8">
        <f>C25-C27</f>
        <v>2915000.0000000005</v>
      </c>
      <c r="D29" s="8">
        <f t="shared" ref="D29:H29" si="2">D25-D27</f>
        <v>2860448.9049747689</v>
      </c>
      <c r="E29" s="8">
        <f t="shared" si="2"/>
        <v>2802079.2332977708</v>
      </c>
      <c r="F29" s="8">
        <f t="shared" si="2"/>
        <v>2739623.6846033828</v>
      </c>
      <c r="G29" s="8">
        <f t="shared" si="2"/>
        <v>2672796.247500388</v>
      </c>
      <c r="H29" s="8">
        <f t="shared" si="2"/>
        <v>2601290.8898001835</v>
      </c>
    </row>
    <row r="31" spans="1:8" x14ac:dyDescent="1.4">
      <c r="A31" t="s">
        <v>132</v>
      </c>
      <c r="B31" s="3">
        <f>'Operating Model'!B30</f>
        <v>649163.875</v>
      </c>
      <c r="C31" s="3">
        <f>'Operating Model'!C30</f>
        <v>680959.51575000002</v>
      </c>
      <c r="D31" s="3">
        <f>'Operating Model'!D30</f>
        <v>714474.22470494988</v>
      </c>
      <c r="E31" s="3">
        <f>'Operating Model'!E30</f>
        <v>749805.49001628649</v>
      </c>
      <c r="F31" s="3">
        <f>'Operating Model'!F30</f>
        <v>787056.46508310549</v>
      </c>
      <c r="G31" s="3">
        <f>'Operating Model'!G30</f>
        <v>826336.30286087748</v>
      </c>
      <c r="H31" s="3">
        <f>'Operating Model'!H30</f>
        <v>867760.51014134893</v>
      </c>
    </row>
    <row r="32" spans="1:8" x14ac:dyDescent="1.4">
      <c r="A32" t="s">
        <v>133</v>
      </c>
      <c r="B32" s="12">
        <f>B31/B28</f>
        <v>3.1813961038961032</v>
      </c>
      <c r="C32" s="12">
        <f t="shared" ref="C32:H32" si="3">C31/C28</f>
        <v>3.3372188961038951</v>
      </c>
      <c r="D32" s="12">
        <f t="shared" si="3"/>
        <v>2.7628429981521871</v>
      </c>
      <c r="E32" s="12">
        <f t="shared" si="3"/>
        <v>2.8994675755070869</v>
      </c>
      <c r="F32" s="12">
        <f t="shared" si="3"/>
        <v>3.0435155930268287</v>
      </c>
      <c r="G32" s="12">
        <f t="shared" si="3"/>
        <v>3.1954091407859342</v>
      </c>
      <c r="H32" s="12">
        <f t="shared" si="3"/>
        <v>3.3555948788874286</v>
      </c>
    </row>
    <row r="33" spans="1:8" x14ac:dyDescent="1.4">
      <c r="A33" t="s">
        <v>134</v>
      </c>
      <c r="B33" s="4">
        <f>B31/B29</f>
        <v>0.22269772727272724</v>
      </c>
      <c r="C33" s="4">
        <f t="shared" ref="C33:H33" si="4">C31/C29</f>
        <v>0.23360532272727269</v>
      </c>
      <c r="D33" s="4">
        <f t="shared" si="4"/>
        <v>0.24977695754759585</v>
      </c>
      <c r="E33" s="4">
        <f t="shared" si="4"/>
        <v>0.26758896790146774</v>
      </c>
      <c r="F33" s="4">
        <f t="shared" si="4"/>
        <v>0.28728634137102232</v>
      </c>
      <c r="G33" s="4">
        <f t="shared" si="4"/>
        <v>0.30916546805005102</v>
      </c>
      <c r="H33" s="4">
        <f t="shared" si="4"/>
        <v>0.33358841702167552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95E7-5C9C-4A92-B5C3-9EC984C0DC60}">
  <dimension ref="A3:I38"/>
  <sheetViews>
    <sheetView topLeftCell="A5" zoomScale="39" zoomScaleNormal="57" workbookViewId="0">
      <selection activeCell="A12" sqref="A12"/>
    </sheetView>
  </sheetViews>
  <sheetFormatPr defaultRowHeight="46.9" x14ac:dyDescent="1.4"/>
  <cols>
    <col min="1" max="1" width="29.203125" customWidth="1"/>
    <col min="2" max="8" width="11.79296875" bestFit="1" customWidth="1"/>
    <col min="9" max="9" width="14.32421875" bestFit="1" customWidth="1"/>
  </cols>
  <sheetData>
    <row r="3" spans="1:9" x14ac:dyDescent="1.4">
      <c r="A3" t="s">
        <v>135</v>
      </c>
    </row>
    <row r="4" spans="1:9" x14ac:dyDescent="1.4">
      <c r="A4" t="s">
        <v>126</v>
      </c>
      <c r="B4">
        <v>0</v>
      </c>
      <c r="C4">
        <v>1</v>
      </c>
      <c r="D4">
        <v>2</v>
      </c>
      <c r="E4">
        <v>3</v>
      </c>
      <c r="F4">
        <v>4</v>
      </c>
      <c r="G4">
        <v>5</v>
      </c>
      <c r="H4">
        <v>6</v>
      </c>
      <c r="I4">
        <v>7</v>
      </c>
    </row>
    <row r="6" spans="1:9" x14ac:dyDescent="1.4">
      <c r="A6" t="s">
        <v>136</v>
      </c>
    </row>
    <row r="7" spans="1:9" x14ac:dyDescent="1.4">
      <c r="A7" t="s">
        <v>132</v>
      </c>
      <c r="B7" s="2">
        <v>0</v>
      </c>
      <c r="C7" s="3">
        <f>'Operating Model'!B30</f>
        <v>649163.875</v>
      </c>
      <c r="D7" s="3">
        <f>'Operating Model'!C30</f>
        <v>680959.51575000002</v>
      </c>
      <c r="E7" s="3">
        <f>'Operating Model'!D30</f>
        <v>714474.22470494988</v>
      </c>
      <c r="F7" s="3">
        <f>'Operating Model'!E30</f>
        <v>749805.49001628649</v>
      </c>
      <c r="G7" s="3">
        <f>'Operating Model'!F30</f>
        <v>787056.46508310549</v>
      </c>
      <c r="H7" s="3">
        <f>'Operating Model'!G30</f>
        <v>826336.30286087748</v>
      </c>
      <c r="I7" s="3">
        <f>'Operating Model'!H30</f>
        <v>867760.51014134893</v>
      </c>
    </row>
    <row r="8" spans="1:9" x14ac:dyDescent="1.4">
      <c r="A8" t="s">
        <v>137</v>
      </c>
      <c r="B8" s="2">
        <v>0</v>
      </c>
      <c r="C8" s="3">
        <f>-'CAPEX SCHEDULE'!C11</f>
        <v>-500000</v>
      </c>
      <c r="D8" s="3">
        <f>-'CAPEX SCHEDULE'!D11</f>
        <v>-300000</v>
      </c>
      <c r="E8" s="3">
        <f>-'CAPEX SCHEDULE'!E11</f>
        <v>-300000</v>
      </c>
      <c r="F8" s="3">
        <f>-'CAPEX SCHEDULE'!F11</f>
        <v>0</v>
      </c>
      <c r="G8" s="3">
        <f>-'CAPEX SCHEDULE'!G11</f>
        <v>0</v>
      </c>
      <c r="H8" s="3">
        <f>-'CAPEX SCHEDULE'!H11</f>
        <v>0</v>
      </c>
      <c r="I8" s="3">
        <f>-'CAPEX SCHEDULE'!I11</f>
        <v>0</v>
      </c>
    </row>
    <row r="9" spans="1:9" x14ac:dyDescent="1.4">
      <c r="A9" t="s">
        <v>138</v>
      </c>
      <c r="B9" s="2">
        <v>0</v>
      </c>
      <c r="C9" s="2">
        <v>0</v>
      </c>
      <c r="D9" s="2">
        <v>0</v>
      </c>
      <c r="E9" s="2">
        <v>0</v>
      </c>
      <c r="F9" s="2">
        <v>0</v>
      </c>
      <c r="G9" s="2">
        <v>0</v>
      </c>
      <c r="H9" s="2">
        <v>0</v>
      </c>
      <c r="I9" s="8">
        <f>I7/Assumptions!$B$61</f>
        <v>10847006.376766862</v>
      </c>
    </row>
    <row r="10" spans="1:9" x14ac:dyDescent="1.4">
      <c r="A10" t="s">
        <v>139</v>
      </c>
      <c r="B10" s="2">
        <v>0</v>
      </c>
      <c r="C10" s="2">
        <v>0</v>
      </c>
      <c r="D10" s="2">
        <v>0</v>
      </c>
      <c r="E10" s="2">
        <v>0</v>
      </c>
      <c r="F10" s="2">
        <v>0</v>
      </c>
      <c r="G10" s="2">
        <v>0</v>
      </c>
      <c r="H10" s="2">
        <v>0</v>
      </c>
      <c r="I10" s="9">
        <f>-I9*Assumptions!B62</f>
        <v>-216940.12753533726</v>
      </c>
    </row>
    <row r="11" spans="1:9" x14ac:dyDescent="1.4">
      <c r="A11" t="s">
        <v>214</v>
      </c>
      <c r="B11" s="2">
        <v>0</v>
      </c>
      <c r="C11" s="2">
        <v>0</v>
      </c>
      <c r="D11" s="2">
        <v>0</v>
      </c>
      <c r="E11" s="2">
        <v>0</v>
      </c>
      <c r="F11" s="2">
        <v>0</v>
      </c>
      <c r="G11" s="2">
        <v>0</v>
      </c>
      <c r="H11" s="2">
        <v>0</v>
      </c>
      <c r="I11" s="9">
        <f>I9+I10+Assumptions!B15</f>
        <v>11130066.249231525</v>
      </c>
    </row>
    <row r="12" spans="1:9" x14ac:dyDescent="1.4">
      <c r="A12" t="s">
        <v>140</v>
      </c>
      <c r="B12" s="3">
        <f>-'Sources &amp; Uses + Debt Schedule'!B9</f>
        <v>-5906000</v>
      </c>
      <c r="C12" s="2">
        <v>0</v>
      </c>
      <c r="D12" s="2">
        <v>0</v>
      </c>
      <c r="E12" s="2">
        <v>0</v>
      </c>
      <c r="F12" s="2">
        <v>0</v>
      </c>
      <c r="G12" s="2">
        <v>0</v>
      </c>
      <c r="H12" s="2">
        <v>0</v>
      </c>
      <c r="I12" s="2">
        <v>0</v>
      </c>
    </row>
    <row r="13" spans="1:9" x14ac:dyDescent="1.4">
      <c r="A13" t="s">
        <v>141</v>
      </c>
      <c r="B13" s="3">
        <f>SUM(B7:B12)</f>
        <v>-5906000</v>
      </c>
      <c r="C13" s="3">
        <f t="shared" ref="C13:H13" si="0">SUM(C7:C12)</f>
        <v>149163.875</v>
      </c>
      <c r="D13" s="3">
        <f t="shared" si="0"/>
        <v>380959.51575000002</v>
      </c>
      <c r="E13" s="3">
        <f t="shared" si="0"/>
        <v>414474.22470494988</v>
      </c>
      <c r="F13" s="3">
        <f t="shared" si="0"/>
        <v>749805.49001628649</v>
      </c>
      <c r="G13" s="3">
        <f t="shared" si="0"/>
        <v>787056.46508310549</v>
      </c>
      <c r="H13" s="3">
        <f t="shared" si="0"/>
        <v>826336.30286087748</v>
      </c>
      <c r="I13" s="3">
        <f>I7+I8+I11</f>
        <v>11997826.759372873</v>
      </c>
    </row>
    <row r="15" spans="1:9" x14ac:dyDescent="1.4">
      <c r="A15" t="s">
        <v>142</v>
      </c>
      <c r="B15" s="13">
        <f>IRR(B13:I13)</f>
        <v>0.16462454885268718</v>
      </c>
    </row>
    <row r="16" spans="1:9" x14ac:dyDescent="1.4">
      <c r="A16" t="s">
        <v>143</v>
      </c>
      <c r="B16" s="12">
        <f>SUM(C13:I13)/(-B13)</f>
        <v>2.5915378653552477</v>
      </c>
    </row>
    <row r="18" spans="1:9" x14ac:dyDescent="1.4">
      <c r="A18" t="s">
        <v>144</v>
      </c>
    </row>
    <row r="19" spans="1:9" x14ac:dyDescent="1.4">
      <c r="A19" t="s">
        <v>145</v>
      </c>
      <c r="B19" s="8">
        <f>B13</f>
        <v>-5906000</v>
      </c>
      <c r="C19" s="8">
        <f t="shared" ref="C19:I19" si="1">C13</f>
        <v>149163.875</v>
      </c>
      <c r="D19" s="8">
        <f t="shared" si="1"/>
        <v>380959.51575000002</v>
      </c>
      <c r="E19" s="8">
        <f t="shared" si="1"/>
        <v>414474.22470494988</v>
      </c>
      <c r="F19" s="8">
        <f t="shared" si="1"/>
        <v>749805.49001628649</v>
      </c>
      <c r="G19" s="8">
        <f t="shared" si="1"/>
        <v>787056.46508310549</v>
      </c>
      <c r="H19" s="8">
        <f t="shared" si="1"/>
        <v>826336.30286087748</v>
      </c>
      <c r="I19" s="8">
        <f t="shared" si="1"/>
        <v>11997826.759372873</v>
      </c>
    </row>
    <row r="20" spans="1:9" x14ac:dyDescent="1.4">
      <c r="A20" t="s">
        <v>146</v>
      </c>
      <c r="B20" s="3">
        <f>'Sources &amp; Uses + Debt Schedule'!B12</f>
        <v>2915000.0000000005</v>
      </c>
      <c r="C20" s="2">
        <v>0</v>
      </c>
      <c r="D20" s="2">
        <v>0</v>
      </c>
      <c r="E20" s="2">
        <v>0</v>
      </c>
      <c r="F20" s="2">
        <v>0</v>
      </c>
      <c r="G20" s="2">
        <v>0</v>
      </c>
      <c r="H20" s="2">
        <v>0</v>
      </c>
      <c r="I20" s="2">
        <v>0</v>
      </c>
    </row>
    <row r="21" spans="1:9" x14ac:dyDescent="1.4">
      <c r="A21" t="s">
        <v>147</v>
      </c>
      <c r="B21" s="2">
        <v>0</v>
      </c>
      <c r="C21" s="3">
        <f>-'Sources &amp; Uses + Debt Schedule'!B28</f>
        <v>-204050.00000000006</v>
      </c>
      <c r="D21" s="3">
        <f>-'Sources &amp; Uses + Debt Schedule'!C28</f>
        <v>-204050.00000000006</v>
      </c>
      <c r="E21" s="3">
        <f>-'Sources &amp; Uses + Debt Schedule'!D28</f>
        <v>-258601.09502523174</v>
      </c>
      <c r="F21" s="3">
        <f>-'Sources &amp; Uses + Debt Schedule'!E28</f>
        <v>-258601.09502523174</v>
      </c>
      <c r="G21" s="3">
        <f>-'Sources &amp; Uses + Debt Schedule'!F28</f>
        <v>-258601.09502523174</v>
      </c>
      <c r="H21" s="3">
        <f>-'Sources &amp; Uses + Debt Schedule'!G28</f>
        <v>-258601.09502523174</v>
      </c>
      <c r="I21" s="3">
        <f>-'Sources &amp; Uses + Debt Schedule'!H28</f>
        <v>-258601.09502523174</v>
      </c>
    </row>
    <row r="22" spans="1:9" x14ac:dyDescent="1.4">
      <c r="A22" t="s">
        <v>148</v>
      </c>
      <c r="B22" s="2">
        <v>0</v>
      </c>
      <c r="C22" s="2">
        <v>0</v>
      </c>
      <c r="D22" s="2">
        <v>0</v>
      </c>
      <c r="E22" s="2">
        <v>0</v>
      </c>
      <c r="F22" s="2">
        <v>0</v>
      </c>
      <c r="G22" s="2">
        <v>0</v>
      </c>
      <c r="H22" s="2">
        <v>0</v>
      </c>
      <c r="I22" s="3">
        <f>-'Sources &amp; Uses + Debt Schedule'!H29</f>
        <v>-2601290.8898001835</v>
      </c>
    </row>
    <row r="23" spans="1:9" x14ac:dyDescent="1.4">
      <c r="A23" t="s">
        <v>149</v>
      </c>
      <c r="B23" s="8">
        <f>SUM(B19:B22)</f>
        <v>-2990999.9999999995</v>
      </c>
      <c r="C23" s="8">
        <f t="shared" ref="C23:I23" si="2">SUM(C19:C22)</f>
        <v>-54886.125000000058</v>
      </c>
      <c r="D23" s="8">
        <f t="shared" si="2"/>
        <v>176909.51574999996</v>
      </c>
      <c r="E23" s="8">
        <f t="shared" si="2"/>
        <v>155873.12967971814</v>
      </c>
      <c r="F23" s="8">
        <f t="shared" si="2"/>
        <v>491204.39499105478</v>
      </c>
      <c r="G23" s="8">
        <f t="shared" si="2"/>
        <v>528455.37005787378</v>
      </c>
      <c r="H23" s="8">
        <f t="shared" si="2"/>
        <v>567735.20783564576</v>
      </c>
      <c r="I23" s="8">
        <f t="shared" si="2"/>
        <v>9137934.7745474577</v>
      </c>
    </row>
    <row r="25" spans="1:9" x14ac:dyDescent="1.4">
      <c r="A25" t="s">
        <v>150</v>
      </c>
      <c r="B25" s="13">
        <f>IRR(B23:I23)</f>
        <v>0.22189580891597815</v>
      </c>
    </row>
    <row r="26" spans="1:9" x14ac:dyDescent="1.4">
      <c r="A26" t="s">
        <v>151</v>
      </c>
      <c r="B26" s="12">
        <f>SUM(C23:I23)/(-B23)</f>
        <v>3.6787784245609334</v>
      </c>
    </row>
    <row r="28" spans="1:9" x14ac:dyDescent="1.4">
      <c r="A28" t="s">
        <v>152</v>
      </c>
      <c r="B28" s="8">
        <f>-B23</f>
        <v>2990999.9999999995</v>
      </c>
    </row>
    <row r="29" spans="1:9" x14ac:dyDescent="1.4">
      <c r="A29" t="s">
        <v>153</v>
      </c>
      <c r="B29" s="8">
        <f>SUM(C23:I23)</f>
        <v>11003226.26786175</v>
      </c>
    </row>
    <row r="30" spans="1:9" x14ac:dyDescent="1.4">
      <c r="A30" t="s">
        <v>154</v>
      </c>
      <c r="B30" s="8">
        <f>B29-B28</f>
        <v>8012226.26786175</v>
      </c>
    </row>
    <row r="31" spans="1:9" x14ac:dyDescent="1.4">
      <c r="A31" t="s">
        <v>155</v>
      </c>
      <c r="B31">
        <f>Assumptions!B19</f>
        <v>7</v>
      </c>
    </row>
    <row r="32" spans="1:9" x14ac:dyDescent="1.4">
      <c r="A32" t="s">
        <v>50</v>
      </c>
      <c r="B32" s="13">
        <f>Assumptions!B61</f>
        <v>0.08</v>
      </c>
    </row>
    <row r="35" spans="1:8" x14ac:dyDescent="1.4">
      <c r="A35" t="s">
        <v>202</v>
      </c>
    </row>
    <row r="37" spans="1:8" x14ac:dyDescent="1.4">
      <c r="A37" t="s">
        <v>203</v>
      </c>
      <c r="B37" s="8">
        <f>$I$7/0.06</f>
        <v>14462675.169022482</v>
      </c>
      <c r="C37" s="8">
        <f>$I$7/0.07</f>
        <v>12396578.716304984</v>
      </c>
      <c r="D37" s="8">
        <f>$I$7/0.08</f>
        <v>10847006.376766862</v>
      </c>
      <c r="E37" s="8">
        <f>$I$7/0.09</f>
        <v>9641783.4460149892</v>
      </c>
      <c r="F37" s="8">
        <f>$I$7/0.1</f>
        <v>8677605.1014134884</v>
      </c>
      <c r="G37" s="8">
        <f>$I$7/0.11</f>
        <v>7888731.9103758996</v>
      </c>
      <c r="H37" s="8"/>
    </row>
    <row r="38" spans="1:8" x14ac:dyDescent="1.4">
      <c r="A38" t="s">
        <v>204</v>
      </c>
      <c r="B38" s="12">
        <f>(SUM(Returns!$C$23:$H$23)+Returns!$I$7+Returns!$I$8+(B37*(1-Assumptions!$B$62))+Returns!$I$21+Returns!$I$22+Assumptions!$B$15)/-Returns!$B$23</f>
        <v>4.8634509141665863</v>
      </c>
      <c r="C38" s="12">
        <f>(SUM(Returns!$C$23:$H$23)+Returns!$I$7+Returns!$I$8+(C37*(1-Assumptions!$B$62))+Returns!$I$21+Returns!$I$22+Assumptions!$B$15)/-Returns!$B$23</f>
        <v>4.1864952058204983</v>
      </c>
      <c r="D38" s="12">
        <f>(SUM(Returns!$C$23:$H$23)+Returns!$I$7+Returns!$I$8+(D37*(1-Assumptions!$B$62))+Returns!$I$21+Returns!$I$22+Assumptions!$B$15)/-Returns!$B$23</f>
        <v>3.6787784245609334</v>
      </c>
      <c r="E38" s="12">
        <f>(SUM(Returns!$C$23:$H$23)+Returns!$I$7+Returns!$I$8+(E37*(1-Assumptions!$B$62))+Returns!$I$21+Returns!$I$22+Assumptions!$B$15)/-Returns!$B$23</f>
        <v>3.2838875946923829</v>
      </c>
      <c r="F38" s="12">
        <f>(SUM(Returns!$C$23:$H$23)+Returns!$I$7+Returns!$I$8+(F37*(1-Assumptions!$B$62))+Returns!$I$21+Returns!$I$22+Assumptions!$B$15)/-Returns!$B$23</f>
        <v>2.9679749307975412</v>
      </c>
      <c r="G38" s="12">
        <f>(SUM(Returns!$C$23:$H$23)+Returns!$I$7+Returns!$I$8+(G37*(1-Assumptions!$B$62))+Returns!$I$21+Returns!$I$22+Assumptions!$B$15)/-Returns!$B$23</f>
        <v>2.7095009330653985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EE60-6262-45FC-BF05-5880E7F43256}">
  <dimension ref="A3:C15"/>
  <sheetViews>
    <sheetView zoomScale="41" workbookViewId="0">
      <selection activeCell="C11" sqref="C11"/>
    </sheetView>
  </sheetViews>
  <sheetFormatPr defaultRowHeight="46.9" x14ac:dyDescent="1.4"/>
  <cols>
    <col min="1" max="1" width="43.5078125" bestFit="1" customWidth="1"/>
    <col min="2" max="2" width="14.32421875" bestFit="1" customWidth="1"/>
    <col min="3" max="3" width="8.58984375" bestFit="1" customWidth="1"/>
  </cols>
  <sheetData>
    <row r="3" spans="1:3" x14ac:dyDescent="1.4">
      <c r="A3" t="s">
        <v>156</v>
      </c>
    </row>
    <row r="6" spans="1:3" x14ac:dyDescent="1.4">
      <c r="A6" t="s">
        <v>157</v>
      </c>
      <c r="B6" t="s">
        <v>158</v>
      </c>
      <c r="C6" t="s">
        <v>159</v>
      </c>
    </row>
    <row r="7" spans="1:3" x14ac:dyDescent="1.4">
      <c r="A7" t="s">
        <v>160</v>
      </c>
      <c r="B7" s="3">
        <f>('Operating Model'!H30-'Operating Model'!B30)/'Operating Model'!B35</f>
        <v>1784699.0734799427</v>
      </c>
      <c r="C7" s="4">
        <f>B7/$B$14</f>
        <v>0.22274696367957558</v>
      </c>
    </row>
    <row r="8" spans="1:3" x14ac:dyDescent="1.4">
      <c r="A8" t="s">
        <v>161</v>
      </c>
      <c r="B8" s="3">
        <f>'Operating Model'!H30*(1/Assumptions!B61-1/'Operating Model'!B35)</f>
        <v>3762307.3032869184</v>
      </c>
      <c r="C8" s="4">
        <f t="shared" ref="C8:C11" si="0">B8/$B$14</f>
        <v>0.46957077565047078</v>
      </c>
    </row>
    <row r="9" spans="1:3" x14ac:dyDescent="1.4">
      <c r="A9" t="s">
        <v>162</v>
      </c>
      <c r="B9" s="3">
        <f>'Sources &amp; Uses + Debt Schedule'!B12-'Sources &amp; Uses + Debt Schedule'!H29</f>
        <v>313709.11019981699</v>
      </c>
      <c r="C9" s="4">
        <f t="shared" si="0"/>
        <v>3.9153800668130359E-2</v>
      </c>
    </row>
    <row r="10" spans="1:3" x14ac:dyDescent="1.4">
      <c r="A10" t="s">
        <v>163</v>
      </c>
      <c r="B10" s="3">
        <f>SUM(Returns!C7:I7)+SUM(Returns!C8:I8)+SUM(Returns!C21:I21)</f>
        <v>2474450.9084304101</v>
      </c>
      <c r="C10" s="4">
        <f t="shared" si="0"/>
        <v>0.30883437707641964</v>
      </c>
    </row>
    <row r="11" spans="1:3" x14ac:dyDescent="1.4">
      <c r="A11" t="s">
        <v>164</v>
      </c>
      <c r="B11" s="3">
        <f>-Assumptions!B14+Returns!I10</f>
        <v>-322940.12753533723</v>
      </c>
      <c r="C11" s="4">
        <f t="shared" si="0"/>
        <v>-4.0305917074596215E-2</v>
      </c>
    </row>
    <row r="13" spans="1:3" x14ac:dyDescent="1.4">
      <c r="A13" t="s">
        <v>165</v>
      </c>
      <c r="B13" s="8">
        <f>SUM('Returns Bridge'!B7:B11)</f>
        <v>8012226.2678617518</v>
      </c>
      <c r="C13" s="4">
        <f>SUM(C7:C11)</f>
        <v>1</v>
      </c>
    </row>
    <row r="14" spans="1:3" x14ac:dyDescent="1.4">
      <c r="A14" t="s">
        <v>200</v>
      </c>
      <c r="B14" s="3">
        <f>Returns!B30</f>
        <v>8012226.26786175</v>
      </c>
    </row>
    <row r="15" spans="1:3" x14ac:dyDescent="1.4">
      <c r="A15" t="s">
        <v>166</v>
      </c>
      <c r="B15" s="8">
        <f>B13-B14</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34E8-749C-4BC5-8177-69DAA1192480}">
  <dimension ref="A3:H69"/>
  <sheetViews>
    <sheetView tabSelected="1" topLeftCell="A27" zoomScale="25" workbookViewId="0">
      <selection activeCell="D46" sqref="D46"/>
    </sheetView>
  </sheetViews>
  <sheetFormatPr defaultRowHeight="46.9" x14ac:dyDescent="1.4"/>
  <cols>
    <col min="1" max="1" width="44.18359375" customWidth="1"/>
    <col min="2" max="2" width="29.28515625" bestFit="1" customWidth="1"/>
    <col min="3" max="3" width="7.48828125" customWidth="1"/>
  </cols>
  <sheetData>
    <row r="3" spans="1:2" x14ac:dyDescent="1.4">
      <c r="A3" t="s">
        <v>167</v>
      </c>
    </row>
    <row r="4" spans="1:2" x14ac:dyDescent="1.4">
      <c r="A4" t="s">
        <v>168</v>
      </c>
    </row>
    <row r="6" spans="1:2" x14ac:dyDescent="1.4">
      <c r="A6" t="s">
        <v>169</v>
      </c>
    </row>
    <row r="7" spans="1:2" x14ac:dyDescent="1.4">
      <c r="A7" t="s">
        <v>1</v>
      </c>
      <c r="B7" t="str">
        <f>Assumptions!B4</f>
        <v>Ahwatukee Golf Club</v>
      </c>
    </row>
    <row r="8" spans="1:2" x14ac:dyDescent="1.4">
      <c r="A8" t="s">
        <v>2</v>
      </c>
      <c r="B8" t="str">
        <f>Assumptions!B5</f>
        <v>18-Hole Daily Fee Golf + F&amp;B + Range</v>
      </c>
    </row>
    <row r="9" spans="1:2" x14ac:dyDescent="1.4">
      <c r="A9" t="s">
        <v>3</v>
      </c>
      <c r="B9" t="str">
        <f>Assumptions!B6</f>
        <v>12432 S 48th St, Phoenix, AZ 85044</v>
      </c>
    </row>
    <row r="10" spans="1:2" x14ac:dyDescent="1.4">
      <c r="A10" t="s">
        <v>4</v>
      </c>
      <c r="B10" t="str">
        <f>Assumptions!B7</f>
        <v>Ahwatukee Foothills (South Phoenix)</v>
      </c>
    </row>
    <row r="11" spans="1:2" x14ac:dyDescent="1.4">
      <c r="A11" t="s">
        <v>5</v>
      </c>
      <c r="B11" t="str">
        <f>Assumptions!B8</f>
        <v>1974 / John Bulla</v>
      </c>
    </row>
    <row r="12" spans="1:2" x14ac:dyDescent="1.4">
      <c r="A12" t="s">
        <v>15</v>
      </c>
      <c r="B12" s="1">
        <f>Assumptions!B20</f>
        <v>46217</v>
      </c>
    </row>
    <row r="13" spans="1:2" x14ac:dyDescent="1.4">
      <c r="A13" t="s">
        <v>170</v>
      </c>
      <c r="B13" s="1">
        <f>Assumptions!B21</f>
        <v>48774</v>
      </c>
    </row>
    <row r="14" spans="1:2" x14ac:dyDescent="1.4">
      <c r="A14" t="s">
        <v>155</v>
      </c>
      <c r="B14">
        <f>Assumptions!B19</f>
        <v>7</v>
      </c>
    </row>
    <row r="16" spans="1:2" x14ac:dyDescent="1.4">
      <c r="A16" t="s">
        <v>171</v>
      </c>
    </row>
    <row r="17" spans="1:2" x14ac:dyDescent="1.4">
      <c r="A17" t="s">
        <v>9</v>
      </c>
      <c r="B17" s="3">
        <f>Assumptions!B13</f>
        <v>5300000</v>
      </c>
    </row>
    <row r="18" spans="1:2" x14ac:dyDescent="1.4">
      <c r="A18" t="s">
        <v>172</v>
      </c>
      <c r="B18" s="3">
        <f>Assumptions!B14+Assumptions!B15</f>
        <v>606000</v>
      </c>
    </row>
    <row r="19" spans="1:2" x14ac:dyDescent="1.4">
      <c r="A19" t="s">
        <v>173</v>
      </c>
      <c r="B19" s="3">
        <f>'CAPEX SCHEDULE'!B11</f>
        <v>1100000</v>
      </c>
    </row>
    <row r="20" spans="1:2" x14ac:dyDescent="1.4">
      <c r="A20" t="s">
        <v>174</v>
      </c>
      <c r="B20" s="3">
        <f>'Sources &amp; Uses + Debt Schedule'!B12</f>
        <v>2915000.0000000005</v>
      </c>
    </row>
    <row r="21" spans="1:2" x14ac:dyDescent="1.4">
      <c r="A21" t="s">
        <v>175</v>
      </c>
      <c r="B21" s="3">
        <f>'Sources &amp; Uses + Debt Schedule'!B13</f>
        <v>2990999.9999999995</v>
      </c>
    </row>
    <row r="22" spans="1:2" x14ac:dyDescent="1.4">
      <c r="A22" t="s">
        <v>176</v>
      </c>
      <c r="B22" t="s">
        <v>209</v>
      </c>
    </row>
    <row r="24" spans="1:2" x14ac:dyDescent="1.4">
      <c r="A24" t="s">
        <v>177</v>
      </c>
    </row>
    <row r="25" spans="1:2" x14ac:dyDescent="1.4">
      <c r="A25" t="s">
        <v>178</v>
      </c>
      <c r="B25" s="3">
        <f>'Operating Model'!B16</f>
        <v>2449675</v>
      </c>
    </row>
    <row r="26" spans="1:2" x14ac:dyDescent="1.4">
      <c r="A26" t="s">
        <v>179</v>
      </c>
      <c r="B26" s="3">
        <f>'Operating Model'!H16</f>
        <v>3274567.9627975435</v>
      </c>
    </row>
    <row r="27" spans="1:2" x14ac:dyDescent="1.4">
      <c r="A27" t="s">
        <v>180</v>
      </c>
      <c r="B27" s="3">
        <f>'Operating Model'!B30</f>
        <v>649163.875</v>
      </c>
    </row>
    <row r="28" spans="1:2" x14ac:dyDescent="1.4">
      <c r="A28" t="s">
        <v>181</v>
      </c>
      <c r="B28" s="3">
        <f>'Operating Model'!H30</f>
        <v>867760.51014134893</v>
      </c>
    </row>
    <row r="29" spans="1:2" x14ac:dyDescent="1.4">
      <c r="A29" t="s">
        <v>104</v>
      </c>
      <c r="B29" s="13">
        <f>'Operating Model'!B35</f>
        <v>0.12248375</v>
      </c>
    </row>
    <row r="30" spans="1:2" x14ac:dyDescent="1.4">
      <c r="A30" t="s">
        <v>182</v>
      </c>
      <c r="B30" s="10">
        <f>('Operating Model'!H30/'Operating Model'!B30)^(1/6)-1</f>
        <v>4.9560770653703345E-2</v>
      </c>
    </row>
    <row r="32" spans="1:2" x14ac:dyDescent="1.4">
      <c r="A32" t="s">
        <v>183</v>
      </c>
    </row>
    <row r="33" spans="1:4" x14ac:dyDescent="1.4">
      <c r="A33" t="s">
        <v>142</v>
      </c>
      <c r="B33" s="13">
        <f>Returns!B15</f>
        <v>0.16462454885268718</v>
      </c>
    </row>
    <row r="34" spans="1:4" x14ac:dyDescent="1.4">
      <c r="A34" t="s">
        <v>143</v>
      </c>
      <c r="B34" s="13">
        <f>Returns!B16</f>
        <v>2.5915378653552477</v>
      </c>
    </row>
    <row r="35" spans="1:4" x14ac:dyDescent="1.4">
      <c r="A35" t="s">
        <v>184</v>
      </c>
      <c r="B35" s="13">
        <f>Returns!B25</f>
        <v>0.22189580891597815</v>
      </c>
    </row>
    <row r="36" spans="1:4" x14ac:dyDescent="1.4">
      <c r="A36" t="s">
        <v>185</v>
      </c>
      <c r="B36" s="13">
        <f>Returns!B26</f>
        <v>3.6787784245609334</v>
      </c>
    </row>
    <row r="37" spans="1:4" x14ac:dyDescent="1.4">
      <c r="A37" t="s">
        <v>152</v>
      </c>
      <c r="B37" s="3">
        <f>Returns!B28</f>
        <v>2990999.9999999995</v>
      </c>
    </row>
    <row r="38" spans="1:4" x14ac:dyDescent="1.4">
      <c r="A38" t="s">
        <v>153</v>
      </c>
      <c r="B38" s="3">
        <f>Returns!B29</f>
        <v>11003226.26786175</v>
      </c>
    </row>
    <row r="39" spans="1:4" x14ac:dyDescent="1.4">
      <c r="A39" t="s">
        <v>154</v>
      </c>
      <c r="B39" s="3">
        <f>Returns!B30</f>
        <v>8012226.26786175</v>
      </c>
    </row>
    <row r="40" spans="1:4" x14ac:dyDescent="1.4">
      <c r="B40" s="3"/>
    </row>
    <row r="41" spans="1:4" x14ac:dyDescent="1.4">
      <c r="A41" t="s">
        <v>186</v>
      </c>
      <c r="B41" s="3"/>
    </row>
    <row r="42" spans="1:4" x14ac:dyDescent="1.4">
      <c r="A42" t="s">
        <v>187</v>
      </c>
      <c r="B42" s="3">
        <f>'Returns Bridge'!B7</f>
        <v>1784699.0734799427</v>
      </c>
      <c r="C42" s="4">
        <f>'Returns Bridge'!C7</f>
        <v>0.22274696367957558</v>
      </c>
    </row>
    <row r="43" spans="1:4" x14ac:dyDescent="1.4">
      <c r="A43" t="s">
        <v>188</v>
      </c>
      <c r="B43" s="3">
        <f>'Returns Bridge'!B8</f>
        <v>3762307.3032869184</v>
      </c>
      <c r="C43" s="4">
        <f>'Returns Bridge'!C8</f>
        <v>0.46957077565047078</v>
      </c>
    </row>
    <row r="44" spans="1:4" x14ac:dyDescent="1.4">
      <c r="A44" t="s">
        <v>189</v>
      </c>
      <c r="B44" s="3">
        <f>'Returns Bridge'!B9</f>
        <v>313709.11019981699</v>
      </c>
      <c r="C44" s="4">
        <f>'Returns Bridge'!C9</f>
        <v>3.9153800668130359E-2</v>
      </c>
    </row>
    <row r="45" spans="1:4" x14ac:dyDescent="1.4">
      <c r="A45" t="s">
        <v>190</v>
      </c>
      <c r="B45" s="3">
        <f>'Returns Bridge'!B10</f>
        <v>2474450.9084304101</v>
      </c>
      <c r="C45" s="4">
        <f>'Returns Bridge'!C10</f>
        <v>0.30883437707641964</v>
      </c>
    </row>
    <row r="46" spans="1:4" x14ac:dyDescent="1.4">
      <c r="A46" t="s">
        <v>191</v>
      </c>
      <c r="B46" s="3">
        <f>'Returns Bridge'!B11</f>
        <v>-322940.12753533723</v>
      </c>
      <c r="C46" s="4">
        <f>'Returns Bridge'!C11</f>
        <v>-4.0305917074596215E-2</v>
      </c>
    </row>
    <row r="48" spans="1:4" ht="62.25" x14ac:dyDescent="1.85">
      <c r="A48" s="16" t="s">
        <v>194</v>
      </c>
      <c r="B48" s="16"/>
      <c r="C48" s="16"/>
      <c r="D48" s="16"/>
    </row>
    <row r="49" spans="1:8" ht="198.75" customHeight="1" x14ac:dyDescent="1.4">
      <c r="A49" s="17" t="s">
        <v>208</v>
      </c>
      <c r="B49" s="17"/>
      <c r="C49" s="17"/>
      <c r="D49" s="17"/>
      <c r="E49" s="14"/>
      <c r="F49" s="14"/>
      <c r="G49" s="14"/>
      <c r="H49" s="14"/>
    </row>
    <row r="50" spans="1:8" ht="284.64999999999998" customHeight="1" x14ac:dyDescent="1.4">
      <c r="A50" s="18" t="s">
        <v>216</v>
      </c>
      <c r="B50" s="18"/>
      <c r="C50" s="18"/>
      <c r="D50" s="18"/>
      <c r="E50" s="14"/>
      <c r="F50" s="14"/>
      <c r="G50" s="14"/>
      <c r="H50" s="14"/>
    </row>
    <row r="51" spans="1:8" ht="181.5" customHeight="1" x14ac:dyDescent="1.4">
      <c r="A51" s="18" t="s">
        <v>210</v>
      </c>
      <c r="B51" s="18"/>
      <c r="C51" s="18"/>
      <c r="D51" s="18"/>
      <c r="E51" s="14"/>
      <c r="F51" s="14"/>
      <c r="G51" s="14"/>
      <c r="H51" s="14"/>
    </row>
    <row r="52" spans="1:8" ht="261" customHeight="1" x14ac:dyDescent="1.4">
      <c r="A52" s="18" t="s">
        <v>219</v>
      </c>
      <c r="B52" s="18"/>
      <c r="C52" s="18"/>
      <c r="D52" s="18"/>
      <c r="E52" s="14"/>
      <c r="F52" s="14"/>
      <c r="G52" s="14"/>
      <c r="H52" s="14"/>
    </row>
    <row r="53" spans="1:8" ht="237.75" customHeight="1" x14ac:dyDescent="1.4">
      <c r="A53" s="18" t="s">
        <v>217</v>
      </c>
      <c r="B53" s="18"/>
      <c r="C53" s="18"/>
      <c r="D53" s="18"/>
      <c r="E53" s="14"/>
      <c r="F53" s="14"/>
      <c r="G53" s="14"/>
      <c r="H53" s="14"/>
    </row>
    <row r="54" spans="1:8" x14ac:dyDescent="1.4">
      <c r="A54" s="19"/>
      <c r="B54" s="19"/>
      <c r="C54" s="19"/>
      <c r="D54" s="19"/>
    </row>
    <row r="55" spans="1:8" ht="133.15" customHeight="1" x14ac:dyDescent="1.85">
      <c r="A55" s="20" t="s">
        <v>192</v>
      </c>
      <c r="B55" s="20"/>
      <c r="C55" s="20"/>
      <c r="D55" s="20"/>
      <c r="E55" s="14"/>
      <c r="F55" s="14"/>
      <c r="G55" s="14"/>
      <c r="H55" s="14"/>
    </row>
    <row r="56" spans="1:8" ht="280.89999999999998" customHeight="1" x14ac:dyDescent="1.4">
      <c r="A56" s="15" t="s">
        <v>212</v>
      </c>
      <c r="B56" s="15"/>
      <c r="C56" s="15"/>
      <c r="D56" s="15"/>
      <c r="E56" s="14"/>
      <c r="F56" s="14"/>
      <c r="G56" s="14"/>
      <c r="H56" s="14"/>
    </row>
    <row r="57" spans="1:8" ht="307.5" customHeight="1" x14ac:dyDescent="1.4">
      <c r="A57" s="15" t="s">
        <v>205</v>
      </c>
      <c r="B57" s="15"/>
      <c r="C57" s="15"/>
      <c r="D57" s="15"/>
      <c r="E57" s="14"/>
      <c r="F57" s="14"/>
      <c r="G57" s="14"/>
      <c r="H57" s="14"/>
    </row>
    <row r="58" spans="1:8" ht="313.14999999999998" customHeight="1" x14ac:dyDescent="1.4">
      <c r="A58" s="15" t="s">
        <v>211</v>
      </c>
      <c r="B58" s="15"/>
      <c r="C58" s="15"/>
      <c r="D58" s="15"/>
      <c r="E58" s="14"/>
      <c r="F58" s="14"/>
      <c r="G58" s="14"/>
      <c r="H58" s="14"/>
    </row>
    <row r="59" spans="1:8" ht="375.4" customHeight="1" x14ac:dyDescent="1.4">
      <c r="A59" s="15" t="s">
        <v>218</v>
      </c>
      <c r="B59" s="15"/>
      <c r="C59" s="15"/>
      <c r="D59" s="15"/>
      <c r="E59" s="14"/>
      <c r="F59" s="14"/>
      <c r="G59" s="14"/>
      <c r="H59" s="14"/>
    </row>
    <row r="60" spans="1:8" ht="298.89999999999998" customHeight="1" x14ac:dyDescent="1.4">
      <c r="A60" s="15" t="s">
        <v>206</v>
      </c>
      <c r="B60" s="15"/>
      <c r="C60" s="15"/>
      <c r="D60" s="15"/>
      <c r="E60" s="14"/>
      <c r="F60" s="14"/>
      <c r="G60" s="14"/>
      <c r="H60" s="14"/>
    </row>
    <row r="61" spans="1:8" x14ac:dyDescent="1.4">
      <c r="A61" s="19"/>
      <c r="B61" s="19"/>
      <c r="C61" s="19"/>
      <c r="D61" s="19"/>
    </row>
    <row r="62" spans="1:8" ht="62.25" x14ac:dyDescent="1.85">
      <c r="A62" s="16" t="s">
        <v>193</v>
      </c>
      <c r="B62" s="16"/>
      <c r="C62" s="16"/>
      <c r="D62" s="16"/>
    </row>
    <row r="63" spans="1:8" ht="233.25" customHeight="1" x14ac:dyDescent="1.4">
      <c r="A63" s="15" t="s">
        <v>195</v>
      </c>
      <c r="B63" s="15"/>
      <c r="C63" s="15"/>
      <c r="D63" s="15"/>
      <c r="E63" s="14"/>
      <c r="F63" s="14"/>
      <c r="G63" s="14"/>
      <c r="H63" s="14"/>
    </row>
    <row r="64" spans="1:8" ht="254.25" customHeight="1" x14ac:dyDescent="1.4">
      <c r="A64" s="15" t="s">
        <v>196</v>
      </c>
      <c r="B64" s="15"/>
      <c r="C64" s="15"/>
      <c r="D64" s="15"/>
      <c r="E64" s="14"/>
      <c r="F64" s="14"/>
      <c r="G64" s="14"/>
      <c r="H64" s="14"/>
    </row>
    <row r="65" spans="1:8" ht="217.9" customHeight="1" x14ac:dyDescent="1.4">
      <c r="A65" s="15" t="s">
        <v>197</v>
      </c>
      <c r="B65" s="15"/>
      <c r="C65" s="15"/>
      <c r="D65" s="15"/>
      <c r="E65" s="14"/>
      <c r="F65" s="14"/>
      <c r="G65" s="14"/>
      <c r="H65" s="14"/>
    </row>
    <row r="66" spans="1:8" ht="298.5" customHeight="1" x14ac:dyDescent="1.4">
      <c r="A66" s="15" t="s">
        <v>213</v>
      </c>
      <c r="B66" s="15"/>
      <c r="C66" s="15"/>
      <c r="D66" s="15"/>
      <c r="E66" s="14"/>
      <c r="F66" s="14"/>
      <c r="G66" s="14"/>
      <c r="H66" s="14"/>
    </row>
    <row r="67" spans="1:8" ht="238.9" customHeight="1" x14ac:dyDescent="1.4">
      <c r="A67" s="15" t="s">
        <v>198</v>
      </c>
      <c r="B67" s="15"/>
      <c r="C67" s="15"/>
      <c r="D67" s="15"/>
      <c r="E67" s="14"/>
      <c r="F67" s="14"/>
      <c r="G67" s="14"/>
      <c r="H67" s="14"/>
    </row>
    <row r="69" spans="1:8" x14ac:dyDescent="1.4">
      <c r="A69" t="s">
        <v>201</v>
      </c>
    </row>
  </sheetData>
  <mergeCells count="20">
    <mergeCell ref="A62:D62"/>
    <mergeCell ref="A48:D48"/>
    <mergeCell ref="A49:D49"/>
    <mergeCell ref="A50:D50"/>
    <mergeCell ref="A51:D51"/>
    <mergeCell ref="A52:D52"/>
    <mergeCell ref="A53:D53"/>
    <mergeCell ref="A54:D54"/>
    <mergeCell ref="A55:D55"/>
    <mergeCell ref="A56:D56"/>
    <mergeCell ref="A57:D57"/>
    <mergeCell ref="A58:D58"/>
    <mergeCell ref="A59:D59"/>
    <mergeCell ref="A60:D60"/>
    <mergeCell ref="A61:D61"/>
    <mergeCell ref="A63:D63"/>
    <mergeCell ref="A64:D64"/>
    <mergeCell ref="A65:D65"/>
    <mergeCell ref="A66:D66"/>
    <mergeCell ref="A67:D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Assumptions</vt:lpstr>
      <vt:lpstr>Operating Model</vt:lpstr>
      <vt:lpstr>CAPEX SCHEDULE</vt:lpstr>
      <vt:lpstr>Sources &amp; Uses + Debt Schedule</vt:lpstr>
      <vt:lpstr>Returns</vt:lpstr>
      <vt:lpstr>Returns Bridge</vt:lpstr>
      <vt:lpstr>Investment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Niky Witt</dc:creator>
  <cp:lastModifiedBy>Niky Witt</cp:lastModifiedBy>
  <dcterms:created xsi:type="dcterms:W3CDTF">2026-10-18T01:06:45Z</dcterms:created>
  <dcterms:modified xsi:type="dcterms:W3CDTF">2026-10-20T05:03:16Z</dcterms:modified>
</cp:coreProperties>
</file>