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4be5b9a86eb7a54/CRE/Online Portfolio/real models/"/>
    </mc:Choice>
  </mc:AlternateContent>
  <xr:revisionPtr revIDLastSave="687" documentId="8_{CB049623-9122-41AA-8C78-D0B53347A3F7}" xr6:coauthVersionLast="47" xr6:coauthVersionMax="47" xr10:uidLastSave="{6366D4F7-2411-4534-8508-717858A0CC7A}"/>
  <bookViews>
    <workbookView xWindow="-98" yWindow="-98" windowWidth="21795" windowHeight="13875" firstSheet="3" activeTab="5" xr2:uid="{743A6A14-2508-4492-9DBB-4EE0A27F7EA6}"/>
  </bookViews>
  <sheets>
    <sheet name="Assumptions" sheetId="1" r:id="rId1"/>
    <sheet name="Operating Model" sheetId="2" r:id="rId2"/>
    <sheet name="Sources &amp; Uses + Debt Schedule" sheetId="3" r:id="rId3"/>
    <sheet name="Returns" sheetId="4" r:id="rId4"/>
    <sheet name="Returns Bridge" sheetId="5" r:id="rId5"/>
    <sheet name="Investment Summary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6" i="2" l="1"/>
  <c r="D36" i="2"/>
  <c r="E36" i="2"/>
  <c r="F36" i="2"/>
  <c r="B36" i="2"/>
  <c r="B47" i="6"/>
  <c r="B46" i="6"/>
  <c r="B44" i="6"/>
  <c r="B36" i="6"/>
  <c r="B23" i="6"/>
  <c r="B9" i="6"/>
  <c r="B45" i="6"/>
  <c r="B43" i="6"/>
  <c r="B40" i="6"/>
  <c r="B39" i="6"/>
  <c r="B38" i="6"/>
  <c r="B35" i="6"/>
  <c r="B34" i="6"/>
  <c r="B31" i="6"/>
  <c r="B30" i="6"/>
  <c r="B29" i="6"/>
  <c r="B28" i="6"/>
  <c r="B27" i="6"/>
  <c r="B24" i="6"/>
  <c r="B22" i="6"/>
  <c r="B21" i="6"/>
  <c r="B20" i="6"/>
  <c r="B17" i="6"/>
  <c r="B16" i="6"/>
  <c r="B15" i="6"/>
  <c r="B14" i="6"/>
  <c r="B13" i="6"/>
  <c r="B12" i="6"/>
  <c r="B5" i="6"/>
  <c r="B6" i="6"/>
  <c r="B7" i="6"/>
  <c r="B8" i="6"/>
  <c r="B4" i="6"/>
  <c r="B18" i="5"/>
  <c r="B19" i="5"/>
  <c r="B20" i="5"/>
  <c r="B21" i="5"/>
  <c r="B17" i="5"/>
  <c r="B14" i="5"/>
  <c r="B13" i="5"/>
  <c r="B11" i="5"/>
  <c r="B10" i="5"/>
  <c r="B9" i="5"/>
  <c r="B6" i="5"/>
  <c r="B5" i="5"/>
  <c r="B4" i="5"/>
  <c r="B37" i="4"/>
  <c r="B36" i="4"/>
  <c r="B35" i="4"/>
  <c r="B34" i="4"/>
  <c r="B31" i="4"/>
  <c r="B30" i="4"/>
  <c r="G28" i="4"/>
  <c r="D28" i="4"/>
  <c r="E28" i="4"/>
  <c r="F28" i="4"/>
  <c r="C28" i="4"/>
  <c r="B26" i="4"/>
  <c r="B28" i="4"/>
  <c r="G27" i="4"/>
  <c r="G25" i="4"/>
  <c r="D25" i="4"/>
  <c r="E25" i="4"/>
  <c r="F25" i="4"/>
  <c r="C25" i="4"/>
  <c r="B21" i="4"/>
  <c r="G17" i="4"/>
  <c r="B20" i="4"/>
  <c r="D18" i="4"/>
  <c r="E18" i="4"/>
  <c r="F18" i="4"/>
  <c r="G18" i="4"/>
  <c r="C18" i="4"/>
  <c r="D15" i="4"/>
  <c r="E15" i="4"/>
  <c r="F15" i="4"/>
  <c r="G15" i="4"/>
  <c r="C15" i="4"/>
  <c r="B18" i="4"/>
  <c r="B16" i="4"/>
  <c r="B11" i="4"/>
  <c r="B10" i="4"/>
  <c r="B9" i="4"/>
  <c r="B8" i="4"/>
  <c r="B7" i="4"/>
  <c r="B6" i="4"/>
  <c r="B5" i="4"/>
  <c r="B4" i="4"/>
  <c r="B36" i="3"/>
  <c r="C34" i="3"/>
  <c r="D34" i="3"/>
  <c r="E34" i="3"/>
  <c r="F34" i="3"/>
  <c r="B34" i="3"/>
  <c r="C33" i="3"/>
  <c r="D33" i="3"/>
  <c r="E33" i="3"/>
  <c r="F33" i="3"/>
  <c r="C32" i="3"/>
  <c r="D32" i="3"/>
  <c r="E32" i="3"/>
  <c r="F32" i="3"/>
  <c r="B32" i="3"/>
  <c r="D26" i="3"/>
  <c r="C29" i="3"/>
  <c r="D29" i="3"/>
  <c r="E26" i="3" s="1"/>
  <c r="E29" i="3" s="1"/>
  <c r="F26" i="3" s="1"/>
  <c r="F29" i="3" s="1"/>
  <c r="C26" i="3"/>
  <c r="B29" i="3"/>
  <c r="C27" i="3"/>
  <c r="D27" i="3"/>
  <c r="E27" i="3"/>
  <c r="F27" i="3"/>
  <c r="B27" i="3"/>
  <c r="B26" i="3"/>
  <c r="B22" i="3"/>
  <c r="B21" i="3"/>
  <c r="B20" i="3"/>
  <c r="B19" i="3"/>
  <c r="B18" i="3"/>
  <c r="B17" i="3"/>
  <c r="B14" i="3"/>
  <c r="B12" i="3"/>
  <c r="B11" i="3"/>
  <c r="B10" i="3"/>
  <c r="B9" i="3"/>
  <c r="B6" i="3"/>
  <c r="B5" i="3"/>
  <c r="B4" i="3"/>
  <c r="C37" i="2"/>
  <c r="D37" i="2"/>
  <c r="E37" i="2"/>
  <c r="F37" i="2"/>
  <c r="B37" i="2"/>
  <c r="C35" i="2"/>
  <c r="D35" i="2"/>
  <c r="E35" i="2"/>
  <c r="F35" i="2"/>
  <c r="B35" i="2"/>
  <c r="C34" i="2"/>
  <c r="D34" i="2"/>
  <c r="E34" i="2"/>
  <c r="F34" i="2"/>
  <c r="B34" i="2"/>
  <c r="C32" i="2"/>
  <c r="D32" i="2"/>
  <c r="E32" i="2"/>
  <c r="F32" i="2"/>
  <c r="B32" i="2"/>
  <c r="D31" i="2"/>
  <c r="E31" i="2"/>
  <c r="F31" i="2"/>
  <c r="C31" i="2"/>
  <c r="B31" i="2"/>
  <c r="C29" i="2"/>
  <c r="D29" i="2"/>
  <c r="E29" i="2"/>
  <c r="F29" i="2"/>
  <c r="B29" i="2"/>
  <c r="D28" i="2"/>
  <c r="E28" i="2"/>
  <c r="F28" i="2"/>
  <c r="C28" i="2"/>
  <c r="C27" i="2"/>
  <c r="D27" i="2"/>
  <c r="E27" i="2"/>
  <c r="F27" i="2"/>
  <c r="B27" i="2"/>
  <c r="C25" i="2"/>
  <c r="D25" i="2"/>
  <c r="E25" i="2"/>
  <c r="F25" i="2"/>
  <c r="B25" i="2"/>
  <c r="D24" i="2"/>
  <c r="E24" i="2"/>
  <c r="F24" i="2"/>
  <c r="C24" i="2"/>
  <c r="B24" i="2"/>
  <c r="C23" i="2"/>
  <c r="D23" i="2"/>
  <c r="E23" i="2"/>
  <c r="F23" i="2"/>
  <c r="B23" i="2"/>
  <c r="D20" i="2"/>
  <c r="E20" i="2"/>
  <c r="F20" i="2"/>
  <c r="D21" i="2"/>
  <c r="E21" i="2"/>
  <c r="F21" i="2"/>
  <c r="D22" i="2"/>
  <c r="E22" i="2"/>
  <c r="F22" i="2"/>
  <c r="C20" i="2"/>
  <c r="C21" i="2"/>
  <c r="C22" i="2"/>
  <c r="B21" i="2"/>
  <c r="B22" i="2"/>
  <c r="B20" i="2"/>
  <c r="C17" i="2"/>
  <c r="D17" i="2"/>
  <c r="E17" i="2"/>
  <c r="F17" i="2"/>
  <c r="B17" i="2"/>
  <c r="C15" i="2"/>
  <c r="D15" i="2"/>
  <c r="E15" i="2"/>
  <c r="F15" i="2"/>
  <c r="B15" i="2"/>
  <c r="D14" i="2"/>
  <c r="E14" i="2"/>
  <c r="F14" i="2"/>
  <c r="C14" i="2"/>
  <c r="B14" i="2"/>
  <c r="D13" i="2"/>
  <c r="E13" i="2"/>
  <c r="F13" i="2"/>
  <c r="C13" i="2"/>
  <c r="B13" i="2"/>
  <c r="D12" i="2"/>
  <c r="E12" i="2"/>
  <c r="F12" i="2"/>
  <c r="C12" i="2"/>
  <c r="B12" i="2"/>
  <c r="C9" i="2"/>
  <c r="D9" i="2"/>
  <c r="E9" i="2"/>
  <c r="F9" i="2"/>
  <c r="B9" i="2"/>
  <c r="C7" i="2"/>
  <c r="D7" i="2"/>
  <c r="E7" i="2"/>
  <c r="F7" i="2"/>
  <c r="B7" i="2"/>
  <c r="D6" i="2"/>
  <c r="E6" i="2"/>
  <c r="F6" i="2"/>
  <c r="C6" i="2"/>
  <c r="B6" i="2"/>
  <c r="B45" i="1"/>
  <c r="B37" i="1"/>
  <c r="B36" i="1"/>
  <c r="B35" i="1"/>
  <c r="B31" i="1"/>
  <c r="B27" i="1"/>
  <c r="B26" i="1"/>
  <c r="B25" i="1"/>
  <c r="B21" i="1"/>
  <c r="B19" i="1"/>
  <c r="B16" i="1"/>
  <c r="B37" i="6" l="1"/>
  <c r="B33" i="3"/>
</calcChain>
</file>

<file path=xl/sharedStrings.xml><?xml version="1.0" encoding="utf-8"?>
<sst xmlns="http://schemas.openxmlformats.org/spreadsheetml/2006/main" count="230" uniqueCount="193">
  <si>
    <t>PECOS LOGISTICS - ASSUMPTIONS</t>
  </si>
  <si>
    <t>PROPERTY</t>
  </si>
  <si>
    <t>Property Name</t>
  </si>
  <si>
    <t>Address / Submarket</t>
  </si>
  <si>
    <t>Property Type</t>
  </si>
  <si>
    <t>Year Built</t>
  </si>
  <si>
    <t>Rentable Square Feet</t>
  </si>
  <si>
    <t>Clear Height</t>
  </si>
  <si>
    <t>Loading</t>
  </si>
  <si>
    <t>Site Area</t>
  </si>
  <si>
    <t>Occupancy at Close</t>
  </si>
  <si>
    <t>ACQUISITION</t>
  </si>
  <si>
    <t>Purchase Price</t>
  </si>
  <si>
    <t>Price per SF</t>
  </si>
  <si>
    <t>Closing Costs</t>
  </si>
  <si>
    <t>Capex Reserves at Close</t>
  </si>
  <si>
    <t>Total Project Cost</t>
  </si>
  <si>
    <t>Y1 NOI (Stabilized)</t>
  </si>
  <si>
    <t>Going-In Cap Rate</t>
  </si>
  <si>
    <t>CAPITAL STACK</t>
  </si>
  <si>
    <t>Senior CMBS Debt</t>
  </si>
  <si>
    <t>Loan-to-Cost</t>
  </si>
  <si>
    <t>Loan-to-Value</t>
  </si>
  <si>
    <t>Common Equity</t>
  </si>
  <si>
    <t>DEBT TERMS</t>
  </si>
  <si>
    <t>Lender</t>
  </si>
  <si>
    <t>Loan Amount</t>
  </si>
  <si>
    <t>Interest Rate</t>
  </si>
  <si>
    <t>Term</t>
  </si>
  <si>
    <t>Amortization</t>
  </si>
  <si>
    <t>Annual Debt Service</t>
  </si>
  <si>
    <t>DSCR (Year 1)</t>
  </si>
  <si>
    <t>Debt Yield (Year 1)</t>
  </si>
  <si>
    <t>LEASE STRUCTURE</t>
  </si>
  <si>
    <t>Tenant</t>
  </si>
  <si>
    <t>Lease Structure</t>
  </si>
  <si>
    <t>Lease Term</t>
  </si>
  <si>
    <t>Lease Commencement</t>
  </si>
  <si>
    <t>Starting Base Rent ($/SF/mo)</t>
  </si>
  <si>
    <t>Starting Base Rent ($/SF/yr)</t>
  </si>
  <si>
    <t>Annual Rent Escalations</t>
  </si>
  <si>
    <t>Free Rent / TI / LC</t>
  </si>
  <si>
    <t>OPERATING ASSUMPTIONS</t>
  </si>
  <si>
    <t>Vacancy / Credit Loss</t>
  </si>
  <si>
    <t>Reimbursable OpEx - Taxes ($/SF)</t>
  </si>
  <si>
    <t>Reimbursable OpEx - Insurance ($/SF)</t>
  </si>
  <si>
    <t>Reimbursable OpEx - CAM ($/SF)</t>
  </si>
  <si>
    <t>Non-reimbursable OpEx ($/SF)</t>
  </si>
  <si>
    <t>Property Management Fee</t>
  </si>
  <si>
    <t>Annual CapEx Reserves ($/SF)</t>
  </si>
  <si>
    <t>OpEx Growth Rate</t>
  </si>
  <si>
    <t>EXIT ASSUMPTIONS</t>
  </si>
  <si>
    <t>Hold Period</t>
  </si>
  <si>
    <t>Exit Cap Rate</t>
  </si>
  <si>
    <t>Cost of Sale</t>
  </si>
  <si>
    <t>Pecos Logistics</t>
  </si>
  <si>
    <t>Buckeye, AZ (SW Valley, Phoenix MSA)</t>
  </si>
  <si>
    <t>Industrial - Class A Distribution</t>
  </si>
  <si>
    <t>36 ft</t>
  </si>
  <si>
    <t>48 dock-high doors + 4 drive-in</t>
  </si>
  <si>
    <t>12.5 acres</t>
  </si>
  <si>
    <t>Non-recourse CMBS</t>
  </si>
  <si>
    <t>5 years</t>
  </si>
  <si>
    <t>Full Interest Only</t>
  </si>
  <si>
    <t>National 3PL</t>
  </si>
  <si>
    <t>Absolute NNN</t>
  </si>
  <si>
    <t>10 years</t>
  </si>
  <si>
    <t>Day 1 of Hold</t>
  </si>
  <si>
    <t>PECOS LOGISTICS - OPERATING MODEL</t>
  </si>
  <si>
    <t>Y1</t>
  </si>
  <si>
    <t>Y2</t>
  </si>
  <si>
    <t>Y3</t>
  </si>
  <si>
    <t>Y4</t>
  </si>
  <si>
    <t>Y5</t>
  </si>
  <si>
    <t>BASE RENTAL INCOME</t>
  </si>
  <si>
    <t>Base Rent ($/SF/mo)</t>
  </si>
  <si>
    <t>Vacancy &amp; Credit Loss</t>
  </si>
  <si>
    <t>Effective Base Rent</t>
  </si>
  <si>
    <t>REIMBURSEMENT INCOME</t>
  </si>
  <si>
    <t>Property Taxes Reimbursed</t>
  </si>
  <si>
    <t>Insurance Reimbursed</t>
  </si>
  <si>
    <t>CAM Reimbursed</t>
  </si>
  <si>
    <t>Total Reimbursements</t>
  </si>
  <si>
    <t>EFFECTIVE GROSS INCOME</t>
  </si>
  <si>
    <t>OPERATING EXPENSES</t>
  </si>
  <si>
    <t>Property Taxes</t>
  </si>
  <si>
    <t>Insurance</t>
  </si>
  <si>
    <t>CAM</t>
  </si>
  <si>
    <t>Non-reimbursable OpEx</t>
  </si>
  <si>
    <t>Total Operating Expenses</t>
  </si>
  <si>
    <t>NET OPERATING INCOME</t>
  </si>
  <si>
    <t>NOI Growth YoY</t>
  </si>
  <si>
    <t>NOI Margin</t>
  </si>
  <si>
    <t>Annual CapEx Reserves</t>
  </si>
  <si>
    <t>Cash Flow Before Debt Service</t>
  </si>
  <si>
    <t>Debt Service</t>
  </si>
  <si>
    <t>Cash Flow to Equity</t>
  </si>
  <si>
    <t>DSCR</t>
  </si>
  <si>
    <t>Cash-on-Cash Yield</t>
  </si>
  <si>
    <t>Year 1</t>
  </si>
  <si>
    <t>Year 2</t>
  </si>
  <si>
    <t>Year 3</t>
  </si>
  <si>
    <t>Year 4</t>
  </si>
  <si>
    <t>Year 5</t>
  </si>
  <si>
    <t>Base Rent (Annual)</t>
  </si>
  <si>
    <t>-</t>
  </si>
  <si>
    <t>PECOS LOGISTICS - SOURCES &amp; USES + DEBT SCHEDULE</t>
  </si>
  <si>
    <t>SOURCES</t>
  </si>
  <si>
    <t>Total Sources</t>
  </si>
  <si>
    <t>USES</t>
  </si>
  <si>
    <t>Total Uses</t>
  </si>
  <si>
    <t>Sources - Uses</t>
  </si>
  <si>
    <t>CAPITAL STACK SUMMARY</t>
  </si>
  <si>
    <t>Senior Debt - Amount</t>
  </si>
  <si>
    <t>Senior Debt - % of Capitalization</t>
  </si>
  <si>
    <t>Senior Debt - $/SF</t>
  </si>
  <si>
    <t>Common Equity - Amount</t>
  </si>
  <si>
    <t>Common Equity - % of Capitalization</t>
  </si>
  <si>
    <t>Common Equity - $/SF</t>
  </si>
  <si>
    <t>DEBT SCHEDULE</t>
  </si>
  <si>
    <t>Beginning Balance</t>
  </si>
  <si>
    <t>Interest Expense</t>
  </si>
  <si>
    <t>Principal Payment</t>
  </si>
  <si>
    <t>Ending Balance</t>
  </si>
  <si>
    <t>COVERAGE METRICS</t>
  </si>
  <si>
    <t>NOI (from Operating Model)</t>
  </si>
  <si>
    <t>Debt Yield (NOI / Loan Balance)</t>
  </si>
  <si>
    <t>Loan Balance at Exit (Y5 Balloon)</t>
  </si>
  <si>
    <t>PECOS - RETURNS</t>
  </si>
  <si>
    <t>EXIT MECHANICS</t>
  </si>
  <si>
    <t>Y5 In-Place NOI</t>
  </si>
  <si>
    <t>Y6 Pro Forma NOI (Y5 x 1.03)</t>
  </si>
  <si>
    <t>Gross Sale Value</t>
  </si>
  <si>
    <t>Cost of Sale ($)</t>
  </si>
  <si>
    <t>Net Sale Proceeds</t>
  </si>
  <si>
    <t>Senior Loan Payoff</t>
  </si>
  <si>
    <t>Net Proceeds to Equity</t>
  </si>
  <si>
    <t>UNLEVERED CASH FLOWS</t>
  </si>
  <si>
    <t>Operating CF (NOI - Capex)</t>
  </si>
  <si>
    <t>Initial Investment (Project Cost)</t>
  </si>
  <si>
    <t>Exit Proceeds (Net Sale)</t>
  </si>
  <si>
    <t>Total Unlevered CF</t>
  </si>
  <si>
    <t>Unlevered IRR</t>
  </si>
  <si>
    <t>Unlevered MOIC</t>
  </si>
  <si>
    <t>LEVERED CASH FLOWS</t>
  </si>
  <si>
    <t>CF to Equity (Operating)</t>
  </si>
  <si>
    <t>Initial Equity Investment</t>
  </si>
  <si>
    <t>Net Equity Proceeds at Exit</t>
  </si>
  <si>
    <t>Total Levered CF</t>
  </si>
  <si>
    <t>Levered IRR</t>
  </si>
  <si>
    <t>Levered MOIC</t>
  </si>
  <si>
    <t>RETURNS SUMMARY</t>
  </si>
  <si>
    <t>Hold Period (Years)</t>
  </si>
  <si>
    <t>Common Equity Invested</t>
  </si>
  <si>
    <t>Total Equity Returned</t>
  </si>
  <si>
    <t>Y0</t>
  </si>
  <si>
    <t>PECOS LOGISTICS - RETURNS BRIDGE</t>
  </si>
  <si>
    <t>Equity Invested</t>
  </si>
  <si>
    <t>Total Equity Profit</t>
  </si>
  <si>
    <t>ATTRIBUTION OF LEVERED PROFIT</t>
  </si>
  <si>
    <t>1. Operating Cash Flow (Y1-Y5)</t>
  </si>
  <si>
    <t>2. NOI Growth &gt; Exit Value Lift</t>
  </si>
  <si>
    <t>3. Cap Rate Movement &gt; Exit Value Impact</t>
  </si>
  <si>
    <t>4. Debt Principal Paydown</t>
  </si>
  <si>
    <t>5. Transaction Costs &amp; Entry Drag</t>
  </si>
  <si>
    <t>Total (reconciles to A6)</t>
  </si>
  <si>
    <t>% CONTRIBUTION TO TOTAL PROFIT</t>
  </si>
  <si>
    <t>1. Operating Cash Flow</t>
  </si>
  <si>
    <t>2. NOI Growth</t>
  </si>
  <si>
    <t>3. Cap Rate Movement</t>
  </si>
  <si>
    <t>4. Debt Paydown</t>
  </si>
  <si>
    <t>5. Transaction Costs</t>
  </si>
  <si>
    <t>PECOS LOGISTICS - INVESTMENT SUMMARY</t>
  </si>
  <si>
    <t>PROPERTY OVERVIEW</t>
  </si>
  <si>
    <t>TRANSACTION</t>
  </si>
  <si>
    <t>TENANT &amp; LEASE</t>
  </si>
  <si>
    <t>Annual Escalations</t>
  </si>
  <si>
    <t>Senior Debt (CMBS)</t>
  </si>
  <si>
    <t>OPERATING PROFILE</t>
  </si>
  <si>
    <t>Year 1 NOI</t>
  </si>
  <si>
    <t>Year 5 NOI</t>
  </si>
  <si>
    <t>NOI CAGR</t>
  </si>
  <si>
    <t>Year 1 DSCR</t>
  </si>
  <si>
    <t>Year 5 DSCR</t>
  </si>
  <si>
    <t>Year 1 Debt Yield</t>
  </si>
  <si>
    <t>Year 5 Debt Yield</t>
  </si>
  <si>
    <t>RETURN METRICS</t>
  </si>
  <si>
    <t>Levered Equity Multiple</t>
  </si>
  <si>
    <t>Unlevered Equity Multiple</t>
  </si>
  <si>
    <t>Avg Cash-on-Cash Yield</t>
  </si>
  <si>
    <t xml:space="preserve">Tenant </t>
  </si>
  <si>
    <t>EQUITY PROFIT RECONCILIATION</t>
  </si>
  <si>
    <t>DSCR (CFADS / Debt Service)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</si>
</sst>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\x"/>
    <numFmt numFmtId="166" formatCode="0.0%"/>
  </numFmts>
  <fonts count="4" x14ac:knownFonts="1">
    <font>
      <sz val="36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sz val="18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9" fontId="0" fillId="0" borderId="0" xfId="0" applyNumberFormat="1"/>
    <xf numFmtId="44" fontId="0" fillId="0" borderId="0" xfId="1" applyFont="1"/>
    <xf numFmtId="164" fontId="0" fillId="0" borderId="0" xfId="1" applyNumberFormat="1" applyFont="1"/>
    <xf numFmtId="164" fontId="0" fillId="0" borderId="0" xfId="0" applyNumberFormat="1"/>
    <xf numFmtId="44" fontId="0" fillId="0" borderId="0" xfId="0" applyNumberFormat="1"/>
    <xf numFmtId="9" fontId="0" fillId="0" borderId="0" xfId="2" applyFont="1"/>
    <xf numFmtId="165" fontId="0" fillId="0" borderId="0" xfId="2" applyNumberFormat="1" applyFont="1"/>
    <xf numFmtId="1" fontId="0" fillId="0" borderId="0" xfId="1" applyNumberFormat="1" applyFont="1"/>
    <xf numFmtId="166" fontId="0" fillId="0" borderId="0" xfId="2" applyNumberFormat="1" applyFont="1"/>
    <xf numFmtId="165" fontId="0" fillId="0" borderId="0" xfId="0" applyNumberFormat="1"/>
    <xf numFmtId="164" fontId="0" fillId="0" borderId="0" xfId="2" applyNumberFormat="1" applyFont="1"/>
    <xf numFmtId="166" fontId="0" fillId="0" borderId="0" xfId="0" applyNumberFormat="1"/>
    <xf numFmtId="10" fontId="0" fillId="0" borderId="0" xfId="2" applyNumberFormat="1" applyFont="1"/>
  </cellXfs>
  <cellStyles count="4">
    <cellStyle name="Currency" xfId="1" builtinId="4"/>
    <cellStyle name="Normal" xfId="0" builtinId="0"/>
    <cellStyle name="Normal 2" xfId="3" xr:uid="{A77EF16B-3D8F-4AA4-A45B-E9E8CFF8AE02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2C69C-E5D6-4FF8-9723-20C7454A861C}">
  <dimension ref="A1:B62"/>
  <sheetViews>
    <sheetView topLeftCell="A13" zoomScale="46" workbookViewId="0">
      <selection activeCell="B21" sqref="B21"/>
    </sheetView>
  </sheetViews>
  <sheetFormatPr defaultRowHeight="46.9" x14ac:dyDescent="1.4"/>
  <cols>
    <col min="1" max="1" width="30.32421875" bestFit="1" customWidth="1"/>
    <col min="2" max="2" width="30.34375" bestFit="1" customWidth="1"/>
  </cols>
  <sheetData>
    <row r="1" spans="1:2" x14ac:dyDescent="1.4">
      <c r="A1" t="s">
        <v>0</v>
      </c>
    </row>
    <row r="3" spans="1:2" x14ac:dyDescent="1.4">
      <c r="A3" t="s">
        <v>1</v>
      </c>
    </row>
    <row r="4" spans="1:2" x14ac:dyDescent="1.4">
      <c r="A4" t="s">
        <v>2</v>
      </c>
      <c r="B4" t="s">
        <v>55</v>
      </c>
    </row>
    <row r="5" spans="1:2" x14ac:dyDescent="1.4">
      <c r="A5" t="s">
        <v>3</v>
      </c>
      <c r="B5" t="s">
        <v>56</v>
      </c>
    </row>
    <row r="6" spans="1:2" x14ac:dyDescent="1.4">
      <c r="A6" t="s">
        <v>4</v>
      </c>
      <c r="B6" t="s">
        <v>57</v>
      </c>
    </row>
    <row r="7" spans="1:2" x14ac:dyDescent="1.4">
      <c r="A7" t="s">
        <v>5</v>
      </c>
      <c r="B7">
        <v>2024</v>
      </c>
    </row>
    <row r="8" spans="1:2" x14ac:dyDescent="1.4">
      <c r="A8" t="s">
        <v>6</v>
      </c>
      <c r="B8" s="8">
        <v>215000</v>
      </c>
    </row>
    <row r="9" spans="1:2" x14ac:dyDescent="1.4">
      <c r="A9" t="s">
        <v>7</v>
      </c>
      <c r="B9" t="s">
        <v>58</v>
      </c>
    </row>
    <row r="10" spans="1:2" x14ac:dyDescent="1.4">
      <c r="A10" t="s">
        <v>8</v>
      </c>
      <c r="B10" t="s">
        <v>59</v>
      </c>
    </row>
    <row r="11" spans="1:2" x14ac:dyDescent="1.4">
      <c r="A11" t="s">
        <v>9</v>
      </c>
      <c r="B11" t="s">
        <v>60</v>
      </c>
    </row>
    <row r="12" spans="1:2" x14ac:dyDescent="1.4">
      <c r="A12" t="s">
        <v>10</v>
      </c>
      <c r="B12" s="1">
        <v>1</v>
      </c>
    </row>
    <row r="14" spans="1:2" x14ac:dyDescent="1.4">
      <c r="A14" t="s">
        <v>11</v>
      </c>
    </row>
    <row r="15" spans="1:2" x14ac:dyDescent="1.4">
      <c r="A15" t="s">
        <v>12</v>
      </c>
      <c r="B15" s="3">
        <v>44000000</v>
      </c>
    </row>
    <row r="16" spans="1:2" x14ac:dyDescent="1.4">
      <c r="A16" t="s">
        <v>13</v>
      </c>
      <c r="B16" s="2">
        <f>B15/B8</f>
        <v>204.65116279069767</v>
      </c>
    </row>
    <row r="17" spans="1:2" x14ac:dyDescent="1.4">
      <c r="A17" t="s">
        <v>14</v>
      </c>
      <c r="B17" s="3">
        <v>500000</v>
      </c>
    </row>
    <row r="18" spans="1:2" x14ac:dyDescent="1.4">
      <c r="A18" t="s">
        <v>15</v>
      </c>
      <c r="B18" s="3">
        <v>200000</v>
      </c>
    </row>
    <row r="19" spans="1:2" x14ac:dyDescent="1.4">
      <c r="A19" t="s">
        <v>16</v>
      </c>
      <c r="B19" s="4">
        <f>B15+B17+B18</f>
        <v>44700000</v>
      </c>
    </row>
    <row r="20" spans="1:2" x14ac:dyDescent="1.4">
      <c r="A20" t="s">
        <v>17</v>
      </c>
      <c r="B20" s="3">
        <v>2530227</v>
      </c>
    </row>
    <row r="21" spans="1:2" x14ac:dyDescent="1.4">
      <c r="A21" t="s">
        <v>18</v>
      </c>
      <c r="B21" s="13">
        <f>B20/B15</f>
        <v>5.7505159090909093E-2</v>
      </c>
    </row>
    <row r="23" spans="1:2" x14ac:dyDescent="1.4">
      <c r="A23" t="s">
        <v>19</v>
      </c>
    </row>
    <row r="24" spans="1:2" x14ac:dyDescent="1.4">
      <c r="A24" t="s">
        <v>20</v>
      </c>
      <c r="B24" s="3">
        <v>26400000</v>
      </c>
    </row>
    <row r="25" spans="1:2" x14ac:dyDescent="1.4">
      <c r="A25" t="s">
        <v>21</v>
      </c>
      <c r="B25" s="6">
        <f>B24/B19</f>
        <v>0.59060402684563762</v>
      </c>
    </row>
    <row r="26" spans="1:2" x14ac:dyDescent="1.4">
      <c r="A26" t="s">
        <v>22</v>
      </c>
      <c r="B26" s="6">
        <f>B24/B15</f>
        <v>0.6</v>
      </c>
    </row>
    <row r="27" spans="1:2" x14ac:dyDescent="1.4">
      <c r="A27" t="s">
        <v>23</v>
      </c>
      <c r="B27" s="4">
        <f>B19-B24</f>
        <v>18300000</v>
      </c>
    </row>
    <row r="29" spans="1:2" x14ac:dyDescent="1.4">
      <c r="A29" t="s">
        <v>24</v>
      </c>
    </row>
    <row r="30" spans="1:2" x14ac:dyDescent="1.4">
      <c r="A30" t="s">
        <v>25</v>
      </c>
      <c r="B30" t="s">
        <v>61</v>
      </c>
    </row>
    <row r="31" spans="1:2" x14ac:dyDescent="1.4">
      <c r="A31" t="s">
        <v>26</v>
      </c>
      <c r="B31" s="4">
        <f>B24</f>
        <v>26400000</v>
      </c>
    </row>
    <row r="32" spans="1:2" x14ac:dyDescent="1.4">
      <c r="A32" t="s">
        <v>27</v>
      </c>
      <c r="B32" s="6">
        <v>0.06</v>
      </c>
    </row>
    <row r="33" spans="1:2" x14ac:dyDescent="1.4">
      <c r="A33" t="s">
        <v>28</v>
      </c>
      <c r="B33" t="s">
        <v>62</v>
      </c>
    </row>
    <row r="34" spans="1:2" x14ac:dyDescent="1.4">
      <c r="A34" t="s">
        <v>29</v>
      </c>
      <c r="B34" t="s">
        <v>63</v>
      </c>
    </row>
    <row r="35" spans="1:2" x14ac:dyDescent="1.4">
      <c r="A35" t="s">
        <v>30</v>
      </c>
      <c r="B35" s="4">
        <f>B32*B31</f>
        <v>1584000</v>
      </c>
    </row>
    <row r="36" spans="1:2" x14ac:dyDescent="1.4">
      <c r="A36" t="s">
        <v>31</v>
      </c>
      <c r="B36" s="7">
        <f>B20/B35</f>
        <v>1.5973655303030303</v>
      </c>
    </row>
    <row r="37" spans="1:2" x14ac:dyDescent="1.4">
      <c r="A37" t="s">
        <v>32</v>
      </c>
      <c r="B37" s="6">
        <f>B20/B31</f>
        <v>9.5841931818181819E-2</v>
      </c>
    </row>
    <row r="39" spans="1:2" x14ac:dyDescent="1.4">
      <c r="A39" t="s">
        <v>33</v>
      </c>
    </row>
    <row r="40" spans="1:2" x14ac:dyDescent="1.4">
      <c r="A40" t="s">
        <v>34</v>
      </c>
      <c r="B40" t="s">
        <v>64</v>
      </c>
    </row>
    <row r="41" spans="1:2" x14ac:dyDescent="1.4">
      <c r="A41" t="s">
        <v>35</v>
      </c>
      <c r="B41" t="s">
        <v>65</v>
      </c>
    </row>
    <row r="42" spans="1:2" x14ac:dyDescent="1.4">
      <c r="A42" t="s">
        <v>36</v>
      </c>
      <c r="B42" t="s">
        <v>66</v>
      </c>
    </row>
    <row r="43" spans="1:2" x14ac:dyDescent="1.4">
      <c r="A43" t="s">
        <v>37</v>
      </c>
      <c r="B43" t="s">
        <v>67</v>
      </c>
    </row>
    <row r="44" spans="1:2" x14ac:dyDescent="1.4">
      <c r="A44" t="s">
        <v>38</v>
      </c>
      <c r="B44" s="3">
        <v>1</v>
      </c>
    </row>
    <row r="45" spans="1:2" x14ac:dyDescent="1.4">
      <c r="A45" t="s">
        <v>39</v>
      </c>
      <c r="B45" s="3">
        <f>B44*12</f>
        <v>12</v>
      </c>
    </row>
    <row r="46" spans="1:2" x14ac:dyDescent="1.4">
      <c r="A46" t="s">
        <v>40</v>
      </c>
      <c r="B46" s="6">
        <v>0.03</v>
      </c>
    </row>
    <row r="47" spans="1:2" x14ac:dyDescent="1.4">
      <c r="A47" t="s">
        <v>41</v>
      </c>
      <c r="B47">
        <v>0</v>
      </c>
    </row>
    <row r="49" spans="1:2" x14ac:dyDescent="1.4">
      <c r="A49" t="s">
        <v>42</v>
      </c>
    </row>
    <row r="50" spans="1:2" x14ac:dyDescent="1.4">
      <c r="A50" t="s">
        <v>43</v>
      </c>
      <c r="B50" s="6">
        <v>0</v>
      </c>
    </row>
    <row r="51" spans="1:2" x14ac:dyDescent="1.4">
      <c r="A51" t="s">
        <v>44</v>
      </c>
      <c r="B51">
        <v>0.8</v>
      </c>
    </row>
    <row r="52" spans="1:2" x14ac:dyDescent="1.4">
      <c r="A52" t="s">
        <v>45</v>
      </c>
      <c r="B52">
        <v>0.1</v>
      </c>
    </row>
    <row r="53" spans="1:2" x14ac:dyDescent="1.4">
      <c r="A53" t="s">
        <v>46</v>
      </c>
      <c r="B53">
        <v>0.25</v>
      </c>
    </row>
    <row r="54" spans="1:2" x14ac:dyDescent="1.4">
      <c r="A54" t="s">
        <v>47</v>
      </c>
      <c r="B54">
        <v>0.1</v>
      </c>
    </row>
    <row r="55" spans="1:2" x14ac:dyDescent="1.4">
      <c r="A55" t="s">
        <v>48</v>
      </c>
      <c r="B55" s="6">
        <v>0.01</v>
      </c>
    </row>
    <row r="56" spans="1:2" x14ac:dyDescent="1.4">
      <c r="A56" t="s">
        <v>49</v>
      </c>
      <c r="B56">
        <v>0.1</v>
      </c>
    </row>
    <row r="57" spans="1:2" x14ac:dyDescent="1.4">
      <c r="A57" t="s">
        <v>50</v>
      </c>
      <c r="B57" s="6">
        <v>0.03</v>
      </c>
    </row>
    <row r="59" spans="1:2" x14ac:dyDescent="1.4">
      <c r="A59" t="s">
        <v>51</v>
      </c>
    </row>
    <row r="60" spans="1:2" x14ac:dyDescent="1.4">
      <c r="A60" t="s">
        <v>52</v>
      </c>
      <c r="B60" t="s">
        <v>62</v>
      </c>
    </row>
    <row r="61" spans="1:2" x14ac:dyDescent="1.4">
      <c r="A61" t="s">
        <v>53</v>
      </c>
      <c r="B61" s="6">
        <v>0.06</v>
      </c>
    </row>
    <row r="62" spans="1:2" x14ac:dyDescent="1.4">
      <c r="A62" t="s">
        <v>54</v>
      </c>
      <c r="B62" s="6">
        <v>0.01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952C5-2505-49A8-AA19-D046A8CAB79E}">
  <dimension ref="A1:F37"/>
  <sheetViews>
    <sheetView topLeftCell="A26" zoomScale="31" workbookViewId="0">
      <selection activeCell="B36" sqref="B36"/>
    </sheetView>
  </sheetViews>
  <sheetFormatPr defaultRowHeight="46.9" x14ac:dyDescent="1.4"/>
  <cols>
    <col min="1" max="1" width="32.22265625" bestFit="1" customWidth="1"/>
    <col min="2" max="6" width="18.85546875" bestFit="1" customWidth="1"/>
  </cols>
  <sheetData>
    <row r="1" spans="1:6" x14ac:dyDescent="1.4">
      <c r="A1" t="s">
        <v>68</v>
      </c>
    </row>
    <row r="3" spans="1:6" x14ac:dyDescent="1.4">
      <c r="B3" t="s">
        <v>99</v>
      </c>
      <c r="C3" t="s">
        <v>100</v>
      </c>
      <c r="D3" t="s">
        <v>101</v>
      </c>
      <c r="E3" t="s">
        <v>102</v>
      </c>
      <c r="F3" t="s">
        <v>103</v>
      </c>
    </row>
    <row r="5" spans="1:6" x14ac:dyDescent="1.4">
      <c r="A5" t="s">
        <v>74</v>
      </c>
    </row>
    <row r="6" spans="1:6" x14ac:dyDescent="1.4">
      <c r="A6" t="s">
        <v>75</v>
      </c>
      <c r="B6" s="2">
        <f>Assumptions!B44</f>
        <v>1</v>
      </c>
      <c r="C6" s="2">
        <f>B6*(1+Assumptions!$B$46)</f>
        <v>1.03</v>
      </c>
      <c r="D6" s="2">
        <f>C6*(1+Assumptions!$B$46)</f>
        <v>1.0609</v>
      </c>
      <c r="E6" s="2">
        <f>D6*(1+Assumptions!$B$46)</f>
        <v>1.092727</v>
      </c>
      <c r="F6" s="2">
        <f>E6*(1+Assumptions!$B$46)</f>
        <v>1.1255088100000001</v>
      </c>
    </row>
    <row r="7" spans="1:6" x14ac:dyDescent="1.4">
      <c r="A7" t="s">
        <v>104</v>
      </c>
      <c r="B7" s="4">
        <f>B6*Assumptions!$B$8*12</f>
        <v>2580000</v>
      </c>
      <c r="C7" s="4">
        <f>C6*Assumptions!$B$8*12</f>
        <v>2657400</v>
      </c>
      <c r="D7" s="4">
        <f>D6*Assumptions!$B$8*12</f>
        <v>2737122</v>
      </c>
      <c r="E7" s="4">
        <f>E6*Assumptions!$B$8*12</f>
        <v>2819235.66</v>
      </c>
      <c r="F7" s="4">
        <f>F6*Assumptions!$B$8*12</f>
        <v>2903812.7298000003</v>
      </c>
    </row>
    <row r="8" spans="1:6" x14ac:dyDescent="1.4">
      <c r="A8" t="s">
        <v>76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1.4">
      <c r="A9" t="s">
        <v>77</v>
      </c>
      <c r="B9" s="4">
        <f>B7-B8</f>
        <v>2580000</v>
      </c>
      <c r="C9" s="4">
        <f t="shared" ref="C9:F9" si="0">C7-C8</f>
        <v>2657400</v>
      </c>
      <c r="D9" s="4">
        <f t="shared" si="0"/>
        <v>2737122</v>
      </c>
      <c r="E9" s="4">
        <f t="shared" si="0"/>
        <v>2819235.66</v>
      </c>
      <c r="F9" s="4">
        <f t="shared" si="0"/>
        <v>2903812.7298000003</v>
      </c>
    </row>
    <row r="11" spans="1:6" x14ac:dyDescent="1.4">
      <c r="A11" t="s">
        <v>78</v>
      </c>
    </row>
    <row r="12" spans="1:6" x14ac:dyDescent="1.4">
      <c r="A12" t="s">
        <v>79</v>
      </c>
      <c r="B12" s="3">
        <f>Assumptions!B51*Assumptions!B8</f>
        <v>172000</v>
      </c>
      <c r="C12" s="4">
        <f>B12*(1+Assumptions!$B$57)</f>
        <v>177160</v>
      </c>
      <c r="D12" s="4">
        <f>C12*(1+Assumptions!$B$57)</f>
        <v>182474.80000000002</v>
      </c>
      <c r="E12" s="4">
        <f>D12*(1+Assumptions!$B$57)</f>
        <v>187949.04400000002</v>
      </c>
      <c r="F12" s="4">
        <f>E12*(1+Assumptions!$B$57)</f>
        <v>193587.51532000003</v>
      </c>
    </row>
    <row r="13" spans="1:6" x14ac:dyDescent="1.4">
      <c r="A13" t="s">
        <v>80</v>
      </c>
      <c r="B13" s="3">
        <f>Assumptions!B52*Assumptions!B8</f>
        <v>21500</v>
      </c>
      <c r="C13" s="4">
        <f>B13*(1+Assumptions!$B$57)</f>
        <v>22145</v>
      </c>
      <c r="D13" s="4">
        <f>C13*(1+Assumptions!$B$57)</f>
        <v>22809.350000000002</v>
      </c>
      <c r="E13" s="4">
        <f>D13*(1+Assumptions!$B$57)</f>
        <v>23493.630500000003</v>
      </c>
      <c r="F13" s="4">
        <f>E13*(1+Assumptions!$B$57)</f>
        <v>24198.439415000004</v>
      </c>
    </row>
    <row r="14" spans="1:6" x14ac:dyDescent="1.4">
      <c r="A14" t="s">
        <v>81</v>
      </c>
      <c r="B14" s="3">
        <f>Assumptions!B53*Assumptions!B8</f>
        <v>53750</v>
      </c>
      <c r="C14" s="4">
        <f>B14*(1+Assumptions!$B$57)</f>
        <v>55362.5</v>
      </c>
      <c r="D14" s="4">
        <f>C14*(1+Assumptions!$B$57)</f>
        <v>57023.375</v>
      </c>
      <c r="E14" s="4">
        <f>D14*(1+Assumptions!$B$57)</f>
        <v>58734.076249999998</v>
      </c>
      <c r="F14" s="4">
        <f>E14*(1+Assumptions!$B$57)</f>
        <v>60496.098537500002</v>
      </c>
    </row>
    <row r="15" spans="1:6" x14ac:dyDescent="1.4">
      <c r="A15" t="s">
        <v>82</v>
      </c>
      <c r="B15" s="4">
        <f>B12+B13+B14</f>
        <v>247250</v>
      </c>
      <c r="C15" s="4">
        <f t="shared" ref="C15:F15" si="1">C12+C13+C14</f>
        <v>254667.5</v>
      </c>
      <c r="D15" s="4">
        <f t="shared" si="1"/>
        <v>262307.52500000002</v>
      </c>
      <c r="E15" s="4">
        <f t="shared" si="1"/>
        <v>270176.75075000001</v>
      </c>
      <c r="F15" s="4">
        <f t="shared" si="1"/>
        <v>278282.05327250005</v>
      </c>
    </row>
    <row r="17" spans="1:6" x14ac:dyDescent="1.4">
      <c r="A17" t="s">
        <v>83</v>
      </c>
      <c r="B17" s="4">
        <f>B9+B15</f>
        <v>2827250</v>
      </c>
      <c r="C17" s="4">
        <f t="shared" ref="C17:F17" si="2">C9+C15</f>
        <v>2912067.5</v>
      </c>
      <c r="D17" s="4">
        <f t="shared" si="2"/>
        <v>2999429.5249999999</v>
      </c>
      <c r="E17" s="4">
        <f t="shared" si="2"/>
        <v>3089412.4107500003</v>
      </c>
      <c r="F17" s="4">
        <f t="shared" si="2"/>
        <v>3182094.7830725005</v>
      </c>
    </row>
    <row r="19" spans="1:6" x14ac:dyDescent="1.4">
      <c r="A19" t="s">
        <v>84</v>
      </c>
    </row>
    <row r="20" spans="1:6" x14ac:dyDescent="1.4">
      <c r="A20" t="s">
        <v>85</v>
      </c>
      <c r="B20" s="4">
        <f>B12</f>
        <v>172000</v>
      </c>
      <c r="C20" s="4">
        <f>C12</f>
        <v>177160</v>
      </c>
      <c r="D20" s="4">
        <f t="shared" ref="D20:F20" si="3">D12</f>
        <v>182474.80000000002</v>
      </c>
      <c r="E20" s="4">
        <f t="shared" si="3"/>
        <v>187949.04400000002</v>
      </c>
      <c r="F20" s="4">
        <f t="shared" si="3"/>
        <v>193587.51532000003</v>
      </c>
    </row>
    <row r="21" spans="1:6" x14ac:dyDescent="1.4">
      <c r="A21" t="s">
        <v>86</v>
      </c>
      <c r="B21" s="4">
        <f t="shared" ref="B21:C22" si="4">B13</f>
        <v>21500</v>
      </c>
      <c r="C21" s="4">
        <f t="shared" si="4"/>
        <v>22145</v>
      </c>
      <c r="D21" s="4">
        <f t="shared" ref="D21:F21" si="5">D13</f>
        <v>22809.350000000002</v>
      </c>
      <c r="E21" s="4">
        <f t="shared" si="5"/>
        <v>23493.630500000003</v>
      </c>
      <c r="F21" s="4">
        <f t="shared" si="5"/>
        <v>24198.439415000004</v>
      </c>
    </row>
    <row r="22" spans="1:6" x14ac:dyDescent="1.4">
      <c r="A22" t="s">
        <v>87</v>
      </c>
      <c r="B22" s="4">
        <f t="shared" si="4"/>
        <v>53750</v>
      </c>
      <c r="C22" s="4">
        <f t="shared" si="4"/>
        <v>55362.5</v>
      </c>
      <c r="D22" s="4">
        <f t="shared" ref="D22:F22" si="6">D14</f>
        <v>57023.375</v>
      </c>
      <c r="E22" s="4">
        <f t="shared" si="6"/>
        <v>58734.076249999998</v>
      </c>
      <c r="F22" s="4">
        <f t="shared" si="6"/>
        <v>60496.098537500002</v>
      </c>
    </row>
    <row r="23" spans="1:6" x14ac:dyDescent="1.4">
      <c r="A23" t="s">
        <v>48</v>
      </c>
      <c r="B23" s="3">
        <f>'Operating Model'!B17*Assumptions!$B$55</f>
        <v>28272.5</v>
      </c>
      <c r="C23" s="3">
        <f>'Operating Model'!C17*Assumptions!$B$55</f>
        <v>29120.674999999999</v>
      </c>
      <c r="D23" s="3">
        <f>'Operating Model'!D17*Assumptions!$B$55</f>
        <v>29994.295249999999</v>
      </c>
      <c r="E23" s="3">
        <f>'Operating Model'!E17*Assumptions!$B$55</f>
        <v>30894.124107500003</v>
      </c>
      <c r="F23" s="3">
        <f>'Operating Model'!F17*Assumptions!$B$55</f>
        <v>31820.947830725006</v>
      </c>
    </row>
    <row r="24" spans="1:6" x14ac:dyDescent="1.4">
      <c r="A24" t="s">
        <v>88</v>
      </c>
      <c r="B24" s="3">
        <f>Assumptions!$B$54*Assumptions!$B$8</f>
        <v>21500</v>
      </c>
      <c r="C24" s="3">
        <f>B24*(1+Assumptions!$B$57)</f>
        <v>22145</v>
      </c>
      <c r="D24" s="3">
        <f>C24*(1+Assumptions!$B$57)</f>
        <v>22809.350000000002</v>
      </c>
      <c r="E24" s="3">
        <f>D24*(1+Assumptions!$B$57)</f>
        <v>23493.630500000003</v>
      </c>
      <c r="F24" s="3">
        <f>E24*(1+Assumptions!$B$57)</f>
        <v>24198.439415000004</v>
      </c>
    </row>
    <row r="25" spans="1:6" x14ac:dyDescent="1.4">
      <c r="A25" t="s">
        <v>89</v>
      </c>
      <c r="B25" s="4">
        <f>SUM(B20:B24)</f>
        <v>297022.5</v>
      </c>
      <c r="C25" s="4">
        <f t="shared" ref="C25:F25" si="7">SUM(C20:C24)</f>
        <v>305933.17499999999</v>
      </c>
      <c r="D25" s="4">
        <f t="shared" si="7"/>
        <v>315111.17025000002</v>
      </c>
      <c r="E25" s="4">
        <f t="shared" si="7"/>
        <v>324564.50535750005</v>
      </c>
      <c r="F25" s="4">
        <f t="shared" si="7"/>
        <v>334301.44051822508</v>
      </c>
    </row>
    <row r="27" spans="1:6" x14ac:dyDescent="1.4">
      <c r="A27" t="s">
        <v>90</v>
      </c>
      <c r="B27" s="4">
        <f>B17-B25</f>
        <v>2530227.5</v>
      </c>
      <c r="C27" s="4">
        <f t="shared" ref="C27:F27" si="8">C17-C25</f>
        <v>2606134.3250000002</v>
      </c>
      <c r="D27" s="4">
        <f t="shared" si="8"/>
        <v>2684318.3547499999</v>
      </c>
      <c r="E27" s="4">
        <f t="shared" si="8"/>
        <v>2764847.9053925001</v>
      </c>
      <c r="F27" s="4">
        <f t="shared" si="8"/>
        <v>2847793.3425542754</v>
      </c>
    </row>
    <row r="28" spans="1:6" x14ac:dyDescent="1.4">
      <c r="A28" t="s">
        <v>91</v>
      </c>
      <c r="B28" s="6" t="s">
        <v>105</v>
      </c>
      <c r="C28" s="9">
        <f>C27/B27-1</f>
        <v>3.0000000000000027E-2</v>
      </c>
      <c r="D28" s="9">
        <f t="shared" ref="D28:F28" si="9">D27/C27-1</f>
        <v>2.9999999999999805E-2</v>
      </c>
      <c r="E28" s="9">
        <f t="shared" si="9"/>
        <v>3.0000000000000027E-2</v>
      </c>
      <c r="F28" s="9">
        <f t="shared" si="9"/>
        <v>3.0000000000000027E-2</v>
      </c>
    </row>
    <row r="29" spans="1:6" x14ac:dyDescent="1.4">
      <c r="A29" t="s">
        <v>92</v>
      </c>
      <c r="B29" s="6">
        <f>B27/B17</f>
        <v>0.89494296577946764</v>
      </c>
      <c r="C29" s="6">
        <f t="shared" ref="C29:F29" si="10">C27/C17</f>
        <v>0.89494296577946775</v>
      </c>
      <c r="D29" s="6">
        <f t="shared" si="10"/>
        <v>0.89494296577946764</v>
      </c>
      <c r="E29" s="6">
        <f t="shared" si="10"/>
        <v>0.89494296577946764</v>
      </c>
      <c r="F29" s="6">
        <f t="shared" si="10"/>
        <v>0.89494296577946764</v>
      </c>
    </row>
    <row r="31" spans="1:6" x14ac:dyDescent="1.4">
      <c r="A31" t="s">
        <v>93</v>
      </c>
      <c r="B31" s="3">
        <f>Assumptions!$B$56*Assumptions!$B$8</f>
        <v>21500</v>
      </c>
      <c r="C31" s="4">
        <f>B31*(1+Assumptions!$B$57)</f>
        <v>22145</v>
      </c>
      <c r="D31" s="4">
        <f>C31*(1+Assumptions!$B$57)</f>
        <v>22809.350000000002</v>
      </c>
      <c r="E31" s="4">
        <f>D31*(1+Assumptions!$B$57)</f>
        <v>23493.630500000003</v>
      </c>
      <c r="F31" s="4">
        <f>E31*(1+Assumptions!$B$57)</f>
        <v>24198.439415000004</v>
      </c>
    </row>
    <row r="32" spans="1:6" x14ac:dyDescent="1.4">
      <c r="A32" t="s">
        <v>94</v>
      </c>
      <c r="B32" s="4">
        <f>B27-B31</f>
        <v>2508727.5</v>
      </c>
      <c r="C32" s="4">
        <f t="shared" ref="C32:F32" si="11">C27-C31</f>
        <v>2583989.3250000002</v>
      </c>
      <c r="D32" s="4">
        <f t="shared" si="11"/>
        <v>2661509.0047499998</v>
      </c>
      <c r="E32" s="4">
        <f t="shared" si="11"/>
        <v>2741354.2748925001</v>
      </c>
      <c r="F32" s="4">
        <f t="shared" si="11"/>
        <v>2823594.9031392755</v>
      </c>
    </row>
    <row r="34" spans="1:6" x14ac:dyDescent="1.4">
      <c r="A34" t="s">
        <v>95</v>
      </c>
      <c r="B34" s="3">
        <f>Assumptions!$B$35</f>
        <v>1584000</v>
      </c>
      <c r="C34" s="3">
        <f>Assumptions!$B$35</f>
        <v>1584000</v>
      </c>
      <c r="D34" s="3">
        <f>Assumptions!$B$35</f>
        <v>1584000</v>
      </c>
      <c r="E34" s="3">
        <f>Assumptions!$B$35</f>
        <v>1584000</v>
      </c>
      <c r="F34" s="3">
        <f>Assumptions!$B$35</f>
        <v>1584000</v>
      </c>
    </row>
    <row r="35" spans="1:6" x14ac:dyDescent="1.4">
      <c r="A35" t="s">
        <v>96</v>
      </c>
      <c r="B35" s="11">
        <f>B32-B34</f>
        <v>924727.5</v>
      </c>
      <c r="C35" s="11">
        <f t="shared" ref="C35:F35" si="12">C32-C34</f>
        <v>999989.32500000019</v>
      </c>
      <c r="D35" s="11">
        <f t="shared" si="12"/>
        <v>1077509.0047499998</v>
      </c>
      <c r="E35" s="11">
        <f t="shared" si="12"/>
        <v>1157354.2748925001</v>
      </c>
      <c r="F35" s="11">
        <f t="shared" si="12"/>
        <v>1239594.9031392755</v>
      </c>
    </row>
    <row r="36" spans="1:6" x14ac:dyDescent="1.4">
      <c r="A36" t="s">
        <v>97</v>
      </c>
      <c r="B36" s="10">
        <f>B32/B34</f>
        <v>1.5837926136363636</v>
      </c>
      <c r="C36" s="10">
        <f t="shared" ref="C36:F36" si="13">C32/C34</f>
        <v>1.6313063920454547</v>
      </c>
      <c r="D36" s="10">
        <f t="shared" si="13"/>
        <v>1.680245583806818</v>
      </c>
      <c r="E36" s="10">
        <f t="shared" si="13"/>
        <v>1.7306529513210227</v>
      </c>
      <c r="F36" s="10">
        <f t="shared" si="13"/>
        <v>1.7825725398606538</v>
      </c>
    </row>
    <row r="37" spans="1:6" x14ac:dyDescent="1.4">
      <c r="A37" t="s">
        <v>98</v>
      </c>
      <c r="B37" s="6">
        <f>B35/Assumptions!$B$27</f>
        <v>5.0531557377049181E-2</v>
      </c>
      <c r="C37" s="6">
        <f>C35/Assumptions!$B$27</f>
        <v>5.4644225409836072E-2</v>
      </c>
      <c r="D37" s="6">
        <f>D35/Assumptions!$B$27</f>
        <v>5.8880273483606548E-2</v>
      </c>
      <c r="E37" s="6">
        <f>E35/Assumptions!$B$27</f>
        <v>6.3243402999590165E-2</v>
      </c>
      <c r="F37" s="6">
        <f>F35/Assumptions!$B$27</f>
        <v>6.7737426401053305E-2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D15E4-C633-474A-96AB-CF3DC126886A}">
  <dimension ref="A1:F36"/>
  <sheetViews>
    <sheetView topLeftCell="A19" zoomScale="29" workbookViewId="0">
      <selection activeCell="A34" sqref="A34"/>
    </sheetView>
  </sheetViews>
  <sheetFormatPr defaultRowHeight="46.9" x14ac:dyDescent="1.4"/>
  <cols>
    <col min="1" max="1" width="46.28515625" bestFit="1" customWidth="1"/>
    <col min="2" max="2" width="13.40625" bestFit="1" customWidth="1"/>
    <col min="3" max="6" width="11.85546875" bestFit="1" customWidth="1"/>
  </cols>
  <sheetData>
    <row r="1" spans="1:2" x14ac:dyDescent="1.4">
      <c r="A1" t="s">
        <v>106</v>
      </c>
    </row>
    <row r="3" spans="1:2" x14ac:dyDescent="1.4">
      <c r="A3" t="s">
        <v>107</v>
      </c>
    </row>
    <row r="4" spans="1:2" x14ac:dyDescent="1.4">
      <c r="A4" t="s">
        <v>20</v>
      </c>
      <c r="B4" s="3">
        <f>Assumptions!B24</f>
        <v>26400000</v>
      </c>
    </row>
    <row r="5" spans="1:2" x14ac:dyDescent="1.4">
      <c r="A5" t="s">
        <v>23</v>
      </c>
      <c r="B5" s="3">
        <f>Assumptions!B27</f>
        <v>18300000</v>
      </c>
    </row>
    <row r="6" spans="1:2" x14ac:dyDescent="1.4">
      <c r="A6" t="s">
        <v>108</v>
      </c>
      <c r="B6" s="4">
        <f>B4+B5</f>
        <v>44700000</v>
      </c>
    </row>
    <row r="8" spans="1:2" x14ac:dyDescent="1.4">
      <c r="A8" t="s">
        <v>109</v>
      </c>
    </row>
    <row r="9" spans="1:2" x14ac:dyDescent="1.4">
      <c r="A9" t="s">
        <v>12</v>
      </c>
      <c r="B9" s="3">
        <f>Assumptions!B15</f>
        <v>44000000</v>
      </c>
    </row>
    <row r="10" spans="1:2" x14ac:dyDescent="1.4">
      <c r="A10" t="s">
        <v>14</v>
      </c>
      <c r="B10" s="3">
        <f>Assumptions!B17</f>
        <v>500000</v>
      </c>
    </row>
    <row r="11" spans="1:2" x14ac:dyDescent="1.4">
      <c r="A11" t="s">
        <v>15</v>
      </c>
      <c r="B11" s="3">
        <f>Assumptions!B18</f>
        <v>200000</v>
      </c>
    </row>
    <row r="12" spans="1:2" x14ac:dyDescent="1.4">
      <c r="A12" t="s">
        <v>110</v>
      </c>
      <c r="B12" s="3">
        <f>SUM(B9:B11)</f>
        <v>44700000</v>
      </c>
    </row>
    <row r="14" spans="1:2" x14ac:dyDescent="1.4">
      <c r="A14" t="s">
        <v>111</v>
      </c>
      <c r="B14" s="4">
        <f>B6-B12</f>
        <v>0</v>
      </c>
    </row>
    <row r="16" spans="1:2" x14ac:dyDescent="1.4">
      <c r="A16" t="s">
        <v>112</v>
      </c>
    </row>
    <row r="17" spans="1:6" x14ac:dyDescent="1.4">
      <c r="A17" t="s">
        <v>113</v>
      </c>
      <c r="B17" s="4">
        <f>B4</f>
        <v>26400000</v>
      </c>
    </row>
    <row r="18" spans="1:6" x14ac:dyDescent="1.4">
      <c r="A18" t="s">
        <v>114</v>
      </c>
      <c r="B18" s="6">
        <f>B17/B12</f>
        <v>0.59060402684563762</v>
      </c>
    </row>
    <row r="19" spans="1:6" x14ac:dyDescent="1.4">
      <c r="A19" t="s">
        <v>115</v>
      </c>
      <c r="B19" s="5">
        <f>B17/Assumptions!B8</f>
        <v>122.79069767441861</v>
      </c>
    </row>
    <row r="20" spans="1:6" x14ac:dyDescent="1.4">
      <c r="A20" t="s">
        <v>116</v>
      </c>
      <c r="B20" s="4">
        <f>B5</f>
        <v>18300000</v>
      </c>
    </row>
    <row r="21" spans="1:6" x14ac:dyDescent="1.4">
      <c r="A21" t="s">
        <v>117</v>
      </c>
      <c r="B21" s="6">
        <f>B20/B12</f>
        <v>0.40939597315436244</v>
      </c>
    </row>
    <row r="22" spans="1:6" x14ac:dyDescent="1.4">
      <c r="A22" t="s">
        <v>118</v>
      </c>
      <c r="B22" s="5">
        <f>B20/Assumptions!B8</f>
        <v>85.116279069767444</v>
      </c>
    </row>
    <row r="24" spans="1:6" x14ac:dyDescent="1.4">
      <c r="A24" t="s">
        <v>119</v>
      </c>
    </row>
    <row r="25" spans="1:6" x14ac:dyDescent="1.4">
      <c r="B25" t="s">
        <v>69</v>
      </c>
      <c r="C25" t="s">
        <v>70</v>
      </c>
      <c r="D25" t="s">
        <v>71</v>
      </c>
      <c r="E25" t="s">
        <v>72</v>
      </c>
      <c r="F25" t="s">
        <v>73</v>
      </c>
    </row>
    <row r="26" spans="1:6" x14ac:dyDescent="1.4">
      <c r="A26" t="s">
        <v>120</v>
      </c>
      <c r="B26" s="4">
        <f>B17</f>
        <v>26400000</v>
      </c>
      <c r="C26" s="4">
        <f>B29</f>
        <v>26400000</v>
      </c>
      <c r="D26" s="4">
        <f t="shared" ref="D26:F26" si="0">C29</f>
        <v>26400000</v>
      </c>
      <c r="E26" s="4">
        <f t="shared" si="0"/>
        <v>26400000</v>
      </c>
      <c r="F26" s="4">
        <f t="shared" si="0"/>
        <v>26400000</v>
      </c>
    </row>
    <row r="27" spans="1:6" x14ac:dyDescent="1.4">
      <c r="A27" t="s">
        <v>121</v>
      </c>
      <c r="B27" s="3">
        <f>'Operating Model'!B34</f>
        <v>1584000</v>
      </c>
      <c r="C27" s="3">
        <f>'Operating Model'!C34</f>
        <v>1584000</v>
      </c>
      <c r="D27" s="3">
        <f>'Operating Model'!D34</f>
        <v>1584000</v>
      </c>
      <c r="E27" s="3">
        <f>'Operating Model'!E34</f>
        <v>1584000</v>
      </c>
      <c r="F27" s="3">
        <f>'Operating Model'!F34</f>
        <v>1584000</v>
      </c>
    </row>
    <row r="28" spans="1:6" x14ac:dyDescent="1.4">
      <c r="A28" t="s">
        <v>122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</row>
    <row r="29" spans="1:6" x14ac:dyDescent="1.4">
      <c r="A29" t="s">
        <v>123</v>
      </c>
      <c r="B29" s="4">
        <f>B26-B28</f>
        <v>26400000</v>
      </c>
      <c r="C29" s="4">
        <f t="shared" ref="C29:F29" si="1">C26-C28</f>
        <v>26400000</v>
      </c>
      <c r="D29" s="4">
        <f t="shared" si="1"/>
        <v>26400000</v>
      </c>
      <c r="E29" s="4">
        <f t="shared" si="1"/>
        <v>26400000</v>
      </c>
      <c r="F29" s="4">
        <f t="shared" si="1"/>
        <v>26400000</v>
      </c>
    </row>
    <row r="31" spans="1:6" x14ac:dyDescent="1.4">
      <c r="A31" t="s">
        <v>124</v>
      </c>
    </row>
    <row r="32" spans="1:6" x14ac:dyDescent="1.4">
      <c r="A32" t="s">
        <v>125</v>
      </c>
      <c r="B32" s="3">
        <f>'Operating Model'!B27</f>
        <v>2530227.5</v>
      </c>
      <c r="C32" s="3">
        <f>'Operating Model'!C27</f>
        <v>2606134.3250000002</v>
      </c>
      <c r="D32" s="3">
        <f>'Operating Model'!D27</f>
        <v>2684318.3547499999</v>
      </c>
      <c r="E32" s="3">
        <f>'Operating Model'!E27</f>
        <v>2764847.9053925001</v>
      </c>
      <c r="F32" s="3">
        <f>'Operating Model'!F27</f>
        <v>2847793.3425542754</v>
      </c>
    </row>
    <row r="33" spans="1:6" x14ac:dyDescent="1.4">
      <c r="A33" t="s">
        <v>192</v>
      </c>
      <c r="B33" s="10">
        <f>'Operating Model'!B36</f>
        <v>1.5837926136363636</v>
      </c>
      <c r="C33" s="10">
        <f>'Operating Model'!C36</f>
        <v>1.6313063920454547</v>
      </c>
      <c r="D33" s="10">
        <f>'Operating Model'!D36</f>
        <v>1.680245583806818</v>
      </c>
      <c r="E33" s="10">
        <f>'Operating Model'!E36</f>
        <v>1.7306529513210227</v>
      </c>
      <c r="F33" s="10">
        <f>'Operating Model'!F36</f>
        <v>1.7825725398606538</v>
      </c>
    </row>
    <row r="34" spans="1:6" x14ac:dyDescent="1.4">
      <c r="A34" t="s">
        <v>126</v>
      </c>
      <c r="B34" s="6">
        <f>'Sources &amp; Uses + Debt Schedule'!B32/'Sources &amp; Uses + Debt Schedule'!B29</f>
        <v>9.5841950757575761E-2</v>
      </c>
      <c r="C34" s="6">
        <f>'Sources &amp; Uses + Debt Schedule'!C32/'Sources &amp; Uses + Debt Schedule'!C29</f>
        <v>9.8717209280303031E-2</v>
      </c>
      <c r="D34" s="6">
        <f>'Sources &amp; Uses + Debt Schedule'!D32/'Sources &amp; Uses + Debt Schedule'!D29</f>
        <v>0.10167872555871212</v>
      </c>
      <c r="E34" s="6">
        <f>'Sources &amp; Uses + Debt Schedule'!E32/'Sources &amp; Uses + Debt Schedule'!E29</f>
        <v>0.10472908732547349</v>
      </c>
      <c r="F34" s="6">
        <f>'Sources &amp; Uses + Debt Schedule'!F32/'Sources &amp; Uses + Debt Schedule'!F29</f>
        <v>0.10787095994523771</v>
      </c>
    </row>
    <row r="36" spans="1:6" x14ac:dyDescent="1.4">
      <c r="A36" t="s">
        <v>127</v>
      </c>
      <c r="B36" s="4">
        <f>F29</f>
        <v>26400000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D8AA5-D1FB-41E3-9171-593889B49464}">
  <dimension ref="A1:G37"/>
  <sheetViews>
    <sheetView topLeftCell="A13" zoomScale="28" workbookViewId="0">
      <selection activeCell="B20" sqref="B20"/>
    </sheetView>
  </sheetViews>
  <sheetFormatPr defaultRowHeight="46.9" x14ac:dyDescent="1.4"/>
  <cols>
    <col min="1" max="1" width="25.8125" bestFit="1" customWidth="1"/>
    <col min="2" max="2" width="14.734375" bestFit="1" customWidth="1"/>
    <col min="3" max="6" width="13.7109375" bestFit="1" customWidth="1"/>
    <col min="7" max="7" width="14.734375" bestFit="1" customWidth="1"/>
  </cols>
  <sheetData>
    <row r="1" spans="1:7" x14ac:dyDescent="1.4">
      <c r="A1" t="s">
        <v>128</v>
      </c>
    </row>
    <row r="3" spans="1:7" x14ac:dyDescent="1.4">
      <c r="A3" t="s">
        <v>129</v>
      </c>
    </row>
    <row r="4" spans="1:7" x14ac:dyDescent="1.4">
      <c r="A4" t="s">
        <v>130</v>
      </c>
      <c r="B4" s="3">
        <f>'Operating Model'!F27</f>
        <v>2847793.3425542754</v>
      </c>
    </row>
    <row r="5" spans="1:7" x14ac:dyDescent="1.4">
      <c r="A5" t="s">
        <v>131</v>
      </c>
      <c r="B5" s="3">
        <f>Returns!B4*1.03</f>
        <v>2933227.1428309036</v>
      </c>
    </row>
    <row r="6" spans="1:7" x14ac:dyDescent="1.4">
      <c r="A6" t="s">
        <v>53</v>
      </c>
      <c r="B6" s="1">
        <f>Assumptions!B61</f>
        <v>0.06</v>
      </c>
    </row>
    <row r="7" spans="1:7" x14ac:dyDescent="1.4">
      <c r="A7" t="s">
        <v>132</v>
      </c>
      <c r="B7" s="5">
        <f>B5/B6</f>
        <v>48887119.047181726</v>
      </c>
    </row>
    <row r="8" spans="1:7" x14ac:dyDescent="1.4">
      <c r="A8" t="s">
        <v>133</v>
      </c>
      <c r="B8" s="5">
        <f>Assumptions!B62*Returns!B7</f>
        <v>488871.19047181727</v>
      </c>
    </row>
    <row r="9" spans="1:7" x14ac:dyDescent="1.4">
      <c r="A9" t="s">
        <v>134</v>
      </c>
      <c r="B9" s="5">
        <f>B7-B8</f>
        <v>48398247.856709905</v>
      </c>
    </row>
    <row r="10" spans="1:7" x14ac:dyDescent="1.4">
      <c r="A10" t="s">
        <v>135</v>
      </c>
      <c r="B10" s="2">
        <f>'Sources &amp; Uses + Debt Schedule'!F29</f>
        <v>26400000</v>
      </c>
    </row>
    <row r="11" spans="1:7" x14ac:dyDescent="1.4">
      <c r="A11" t="s">
        <v>136</v>
      </c>
      <c r="B11" s="5">
        <f>B9-B10</f>
        <v>21998247.856709905</v>
      </c>
    </row>
    <row r="13" spans="1:7" x14ac:dyDescent="1.4">
      <c r="A13" t="s">
        <v>137</v>
      </c>
    </row>
    <row r="14" spans="1:7" x14ac:dyDescent="1.4">
      <c r="B14" t="s">
        <v>155</v>
      </c>
      <c r="C14" t="s">
        <v>69</v>
      </c>
      <c r="D14" t="s">
        <v>70</v>
      </c>
      <c r="E14" t="s">
        <v>71</v>
      </c>
      <c r="F14" t="s">
        <v>72</v>
      </c>
      <c r="G14" t="s">
        <v>73</v>
      </c>
    </row>
    <row r="15" spans="1:7" x14ac:dyDescent="1.4">
      <c r="A15" t="s">
        <v>138</v>
      </c>
      <c r="B15" s="2">
        <v>0</v>
      </c>
      <c r="C15" s="2">
        <f>'Operating Model'!B32</f>
        <v>2508727.5</v>
      </c>
      <c r="D15" s="2">
        <f>'Operating Model'!C32</f>
        <v>2583989.3250000002</v>
      </c>
      <c r="E15" s="2">
        <f>'Operating Model'!D32</f>
        <v>2661509.0047499998</v>
      </c>
      <c r="F15" s="2">
        <f>'Operating Model'!E32</f>
        <v>2741354.2748925001</v>
      </c>
      <c r="G15" s="2">
        <f>'Operating Model'!F32</f>
        <v>2823594.9031392755</v>
      </c>
    </row>
    <row r="16" spans="1:7" x14ac:dyDescent="1.4">
      <c r="A16" t="s">
        <v>139</v>
      </c>
      <c r="B16" s="3">
        <f>Assumptions!B19</f>
        <v>44700000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</row>
    <row r="17" spans="1:7" x14ac:dyDescent="1.4">
      <c r="A17" t="s">
        <v>140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5">
        <f>B9</f>
        <v>48398247.856709905</v>
      </c>
    </row>
    <row r="18" spans="1:7" x14ac:dyDescent="1.4">
      <c r="A18" t="s">
        <v>141</v>
      </c>
      <c r="B18" s="4">
        <f>-B16</f>
        <v>-44700000</v>
      </c>
      <c r="C18" s="5">
        <f>C15+C17</f>
        <v>2508727.5</v>
      </c>
      <c r="D18" s="5">
        <f t="shared" ref="D18:G18" si="0">D15+D17</f>
        <v>2583989.3250000002</v>
      </c>
      <c r="E18" s="5">
        <f t="shared" si="0"/>
        <v>2661509.0047499998</v>
      </c>
      <c r="F18" s="5">
        <f t="shared" si="0"/>
        <v>2741354.2748925001</v>
      </c>
      <c r="G18" s="5">
        <f t="shared" si="0"/>
        <v>51221842.759849183</v>
      </c>
    </row>
    <row r="20" spans="1:7" x14ac:dyDescent="1.4">
      <c r="A20" t="s">
        <v>142</v>
      </c>
      <c r="B20" s="12">
        <f>IRR(B18:G18)</f>
        <v>7.3627242753655731E-2</v>
      </c>
    </row>
    <row r="21" spans="1:7" x14ac:dyDescent="1.4">
      <c r="A21" t="s">
        <v>143</v>
      </c>
      <c r="B21" s="10">
        <f>(SUM(C15:G15)+G17)/B16</f>
        <v>1.3807029723599928</v>
      </c>
    </row>
    <row r="23" spans="1:7" x14ac:dyDescent="1.4">
      <c r="A23" t="s">
        <v>144</v>
      </c>
    </row>
    <row r="25" spans="1:7" x14ac:dyDescent="1.4">
      <c r="A25" t="s">
        <v>145</v>
      </c>
      <c r="B25" s="2">
        <v>0</v>
      </c>
      <c r="C25" s="3">
        <f>'Operating Model'!B35</f>
        <v>924727.5</v>
      </c>
      <c r="D25" s="3">
        <f>'Operating Model'!C35</f>
        <v>999989.32500000019</v>
      </c>
      <c r="E25" s="3">
        <f>'Operating Model'!D35</f>
        <v>1077509.0047499998</v>
      </c>
      <c r="F25" s="3">
        <f>'Operating Model'!E35</f>
        <v>1157354.2748925001</v>
      </c>
      <c r="G25" s="3">
        <f>'Operating Model'!F35</f>
        <v>1239594.9031392755</v>
      </c>
    </row>
    <row r="26" spans="1:7" x14ac:dyDescent="1.4">
      <c r="A26" t="s">
        <v>146</v>
      </c>
      <c r="B26" s="3">
        <f>-Assumptions!B27</f>
        <v>-18300000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x14ac:dyDescent="1.4">
      <c r="A27" t="s">
        <v>147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5">
        <f>B11</f>
        <v>21998247.856709905</v>
      </c>
    </row>
    <row r="28" spans="1:7" x14ac:dyDescent="1.4">
      <c r="A28" t="s">
        <v>148</v>
      </c>
      <c r="B28" s="4">
        <f>B26</f>
        <v>-18300000</v>
      </c>
      <c r="C28" s="4">
        <f>C25</f>
        <v>924727.5</v>
      </c>
      <c r="D28" s="4">
        <f t="shared" ref="D28:F28" si="1">D25</f>
        <v>999989.32500000019</v>
      </c>
      <c r="E28" s="4">
        <f t="shared" si="1"/>
        <v>1077509.0047499998</v>
      </c>
      <c r="F28" s="4">
        <f t="shared" si="1"/>
        <v>1157354.2748925001</v>
      </c>
      <c r="G28" s="5">
        <f>G25+G27</f>
        <v>23237842.75984918</v>
      </c>
    </row>
    <row r="30" spans="1:7" x14ac:dyDescent="1.4">
      <c r="A30" t="s">
        <v>149</v>
      </c>
      <c r="B30" s="12">
        <f>IRR(B28:G28)</f>
        <v>9.1894812270018278E-2</v>
      </c>
    </row>
    <row r="31" spans="1:7" x14ac:dyDescent="1.4">
      <c r="A31" t="s">
        <v>150</v>
      </c>
      <c r="B31" s="10">
        <f>SUM(C28:G28)/-B28</f>
        <v>1.497126932485884</v>
      </c>
    </row>
    <row r="33" spans="1:2" x14ac:dyDescent="1.4">
      <c r="A33" t="s">
        <v>151</v>
      </c>
    </row>
    <row r="34" spans="1:2" x14ac:dyDescent="1.4">
      <c r="A34" t="s">
        <v>152</v>
      </c>
      <c r="B34" t="str">
        <f>Assumptions!B60</f>
        <v>5 years</v>
      </c>
    </row>
    <row r="35" spans="1:2" x14ac:dyDescent="1.4">
      <c r="A35" t="s">
        <v>16</v>
      </c>
      <c r="B35" s="3">
        <f>Assumptions!B19</f>
        <v>44700000</v>
      </c>
    </row>
    <row r="36" spans="1:2" x14ac:dyDescent="1.4">
      <c r="A36" t="s">
        <v>153</v>
      </c>
      <c r="B36" s="3">
        <f>Assumptions!B27</f>
        <v>18300000</v>
      </c>
    </row>
    <row r="37" spans="1:2" x14ac:dyDescent="1.4">
      <c r="A37" t="s">
        <v>154</v>
      </c>
      <c r="B37" s="4">
        <f>SUM(C28:G28)</f>
        <v>27397422.864491679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A75BE-1D2D-4FD3-BA3D-53254AB586D3}">
  <dimension ref="A1:B21"/>
  <sheetViews>
    <sheetView topLeftCell="A9" zoomScale="50" workbookViewId="0">
      <selection activeCell="A4" sqref="A4"/>
    </sheetView>
  </sheetViews>
  <sheetFormatPr defaultRowHeight="46.9" x14ac:dyDescent="1.4"/>
  <cols>
    <col min="1" max="1" width="33.52734375" bestFit="1" customWidth="1"/>
    <col min="2" max="2" width="14.32421875" bestFit="1" customWidth="1"/>
  </cols>
  <sheetData>
    <row r="1" spans="1:2" x14ac:dyDescent="1.4">
      <c r="A1" t="s">
        <v>156</v>
      </c>
    </row>
    <row r="3" spans="1:2" x14ac:dyDescent="1.4">
      <c r="A3" t="s">
        <v>191</v>
      </c>
    </row>
    <row r="4" spans="1:2" x14ac:dyDescent="1.4">
      <c r="A4" t="s">
        <v>157</v>
      </c>
      <c r="B4" s="3">
        <f>Assumptions!B27</f>
        <v>18300000</v>
      </c>
    </row>
    <row r="5" spans="1:2" x14ac:dyDescent="1.4">
      <c r="A5" t="s">
        <v>154</v>
      </c>
      <c r="B5" s="3">
        <f>Returns!B37</f>
        <v>27397422.864491679</v>
      </c>
    </row>
    <row r="6" spans="1:2" x14ac:dyDescent="1.4">
      <c r="A6" t="s">
        <v>158</v>
      </c>
      <c r="B6" s="3">
        <f>B5-B4</f>
        <v>9097422.8644916788</v>
      </c>
    </row>
    <row r="8" spans="1:2" x14ac:dyDescent="1.4">
      <c r="A8" t="s">
        <v>159</v>
      </c>
    </row>
    <row r="9" spans="1:2" x14ac:dyDescent="1.4">
      <c r="A9" t="s">
        <v>160</v>
      </c>
      <c r="B9" s="3">
        <f>SUM(Returns!C25:G25)</f>
        <v>5399175.0077817757</v>
      </c>
    </row>
    <row r="10" spans="1:2" x14ac:dyDescent="1.4">
      <c r="A10" t="s">
        <v>161</v>
      </c>
      <c r="B10" s="3">
        <f>((Returns!B5-'Operating Model'!B27)/Assumptions!B21)*(1-Assumptions!B62)</f>
        <v>6937980.0475270245</v>
      </c>
    </row>
    <row r="11" spans="1:2" x14ac:dyDescent="1.4">
      <c r="A11" t="s">
        <v>162</v>
      </c>
      <c r="B11" s="2">
        <f>(Returns!B5/Assumptions!B61-Returns!B5/Assumptions!B21)*(1-Assumptions!B62)</f>
        <v>-2099740.7987404335</v>
      </c>
    </row>
    <row r="12" spans="1:2" x14ac:dyDescent="1.4">
      <c r="A12" t="s">
        <v>163</v>
      </c>
      <c r="B12">
        <v>0</v>
      </c>
    </row>
    <row r="13" spans="1:2" x14ac:dyDescent="1.4">
      <c r="A13" t="s">
        <v>164</v>
      </c>
      <c r="B13" s="2">
        <f>Assumptions!B15*(1-Assumptions!B62)-Assumptions!B24-Assumptions!B27</f>
        <v>-1140000</v>
      </c>
    </row>
    <row r="14" spans="1:2" x14ac:dyDescent="1.4">
      <c r="A14" t="s">
        <v>165</v>
      </c>
      <c r="B14" s="4">
        <f>SUM(B9:B13)</f>
        <v>9097414.2565683667</v>
      </c>
    </row>
    <row r="16" spans="1:2" x14ac:dyDescent="1.4">
      <c r="A16" t="s">
        <v>166</v>
      </c>
    </row>
    <row r="17" spans="1:2" x14ac:dyDescent="1.4">
      <c r="A17" t="s">
        <v>167</v>
      </c>
      <c r="B17" s="6">
        <f>B9/$B$6</f>
        <v>0.59348401060429945</v>
      </c>
    </row>
    <row r="18" spans="1:2" x14ac:dyDescent="1.4">
      <c r="A18" t="s">
        <v>168</v>
      </c>
      <c r="B18" s="6">
        <f t="shared" ref="B18:B21" si="0">B10/$B$6</f>
        <v>0.76263136834133372</v>
      </c>
    </row>
    <row r="19" spans="1:2" x14ac:dyDescent="1.4">
      <c r="A19" t="s">
        <v>169</v>
      </c>
      <c r="B19" s="6">
        <f t="shared" si="0"/>
        <v>-0.23080611179853705</v>
      </c>
    </row>
    <row r="20" spans="1:2" x14ac:dyDescent="1.4">
      <c r="A20" t="s">
        <v>170</v>
      </c>
      <c r="B20" s="6">
        <f t="shared" si="0"/>
        <v>0</v>
      </c>
    </row>
    <row r="21" spans="1:2" x14ac:dyDescent="1.4">
      <c r="A21" t="s">
        <v>171</v>
      </c>
      <c r="B21" s="6">
        <f t="shared" si="0"/>
        <v>-0.12531021334069842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89A25-DF22-47D6-834A-0FC2E92208BC}">
  <dimension ref="A1:B47"/>
  <sheetViews>
    <sheetView tabSelected="1" zoomScale="37" workbookViewId="0">
      <selection activeCell="B13" sqref="B13"/>
    </sheetView>
  </sheetViews>
  <sheetFormatPr defaultRowHeight="46.9" x14ac:dyDescent="1.4"/>
  <cols>
    <col min="1" max="1" width="35.3046875" bestFit="1" customWidth="1"/>
    <col min="2" max="2" width="30.5078125" bestFit="1" customWidth="1"/>
  </cols>
  <sheetData>
    <row r="1" spans="1:2" x14ac:dyDescent="1.4">
      <c r="A1" t="s">
        <v>172</v>
      </c>
    </row>
    <row r="3" spans="1:2" x14ac:dyDescent="1.4">
      <c r="A3" t="s">
        <v>173</v>
      </c>
    </row>
    <row r="4" spans="1:2" x14ac:dyDescent="1.4">
      <c r="A4" t="s">
        <v>2</v>
      </c>
      <c r="B4" t="str">
        <f>Assumptions!B4</f>
        <v>Pecos Logistics</v>
      </c>
    </row>
    <row r="5" spans="1:2" x14ac:dyDescent="1.4">
      <c r="A5" t="s">
        <v>3</v>
      </c>
      <c r="B5" t="str">
        <f>Assumptions!B5</f>
        <v>Buckeye, AZ (SW Valley, Phoenix MSA)</v>
      </c>
    </row>
    <row r="6" spans="1:2" x14ac:dyDescent="1.4">
      <c r="A6" t="s">
        <v>4</v>
      </c>
      <c r="B6" t="str">
        <f>Assumptions!B6</f>
        <v>Industrial - Class A Distribution</v>
      </c>
    </row>
    <row r="7" spans="1:2" x14ac:dyDescent="1.4">
      <c r="A7" t="s">
        <v>5</v>
      </c>
      <c r="B7">
        <f>Assumptions!B7</f>
        <v>2024</v>
      </c>
    </row>
    <row r="8" spans="1:2" x14ac:dyDescent="1.4">
      <c r="A8" t="s">
        <v>6</v>
      </c>
      <c r="B8">
        <f>Assumptions!B8</f>
        <v>215000</v>
      </c>
    </row>
    <row r="9" spans="1:2" x14ac:dyDescent="1.4">
      <c r="A9" t="s">
        <v>10</v>
      </c>
      <c r="B9" s="1">
        <f>Assumptions!B12</f>
        <v>1</v>
      </c>
    </row>
    <row r="11" spans="1:2" x14ac:dyDescent="1.4">
      <c r="A11" t="s">
        <v>174</v>
      </c>
    </row>
    <row r="12" spans="1:2" x14ac:dyDescent="1.4">
      <c r="A12" t="s">
        <v>12</v>
      </c>
      <c r="B12" s="3">
        <f>Assumptions!B15</f>
        <v>44000000</v>
      </c>
    </row>
    <row r="13" spans="1:2" x14ac:dyDescent="1.4">
      <c r="A13" t="s">
        <v>13</v>
      </c>
      <c r="B13" s="2">
        <f>Assumptions!B16</f>
        <v>204.65116279069767</v>
      </c>
    </row>
    <row r="14" spans="1:2" x14ac:dyDescent="1.4">
      <c r="A14" t="s">
        <v>18</v>
      </c>
      <c r="B14" s="6">
        <f>Assumptions!B21</f>
        <v>5.7505159090909093E-2</v>
      </c>
    </row>
    <row r="15" spans="1:2" x14ac:dyDescent="1.4">
      <c r="A15" t="s">
        <v>16</v>
      </c>
      <c r="B15" s="3">
        <f>Assumptions!B19</f>
        <v>44700000</v>
      </c>
    </row>
    <row r="16" spans="1:2" x14ac:dyDescent="1.4">
      <c r="A16" t="s">
        <v>52</v>
      </c>
      <c r="B16" t="str">
        <f>Assumptions!B60</f>
        <v>5 years</v>
      </c>
    </row>
    <row r="17" spans="1:2" x14ac:dyDescent="1.4">
      <c r="A17" t="s">
        <v>53</v>
      </c>
      <c r="B17" s="6">
        <f>Assumptions!B61</f>
        <v>0.06</v>
      </c>
    </row>
    <row r="19" spans="1:2" x14ac:dyDescent="1.4">
      <c r="A19" t="s">
        <v>175</v>
      </c>
    </row>
    <row r="20" spans="1:2" x14ac:dyDescent="1.4">
      <c r="A20" t="s">
        <v>190</v>
      </c>
      <c r="B20" t="str">
        <f>Assumptions!B40</f>
        <v>National 3PL</v>
      </c>
    </row>
    <row r="21" spans="1:2" x14ac:dyDescent="1.4">
      <c r="A21" t="s">
        <v>35</v>
      </c>
      <c r="B21" t="str">
        <f>Assumptions!B41</f>
        <v>Absolute NNN</v>
      </c>
    </row>
    <row r="22" spans="1:2" x14ac:dyDescent="1.4">
      <c r="A22" t="s">
        <v>36</v>
      </c>
      <c r="B22" t="str">
        <f>Assumptions!B42</f>
        <v>10 years</v>
      </c>
    </row>
    <row r="23" spans="1:2" x14ac:dyDescent="1.4">
      <c r="A23" t="s">
        <v>39</v>
      </c>
      <c r="B23">
        <f>Assumptions!B45</f>
        <v>12</v>
      </c>
    </row>
    <row r="24" spans="1:2" x14ac:dyDescent="1.4">
      <c r="A24" t="s">
        <v>176</v>
      </c>
      <c r="B24" s="1">
        <f>Assumptions!B46</f>
        <v>0.03</v>
      </c>
    </row>
    <row r="26" spans="1:2" x14ac:dyDescent="1.4">
      <c r="A26" t="s">
        <v>19</v>
      </c>
    </row>
    <row r="27" spans="1:2" x14ac:dyDescent="1.4">
      <c r="A27" t="s">
        <v>177</v>
      </c>
      <c r="B27" s="3">
        <f>Assumptions!B24</f>
        <v>26400000</v>
      </c>
    </row>
    <row r="28" spans="1:2" x14ac:dyDescent="1.4">
      <c r="A28" t="s">
        <v>22</v>
      </c>
      <c r="B28" s="1">
        <f>Assumptions!B26</f>
        <v>0.6</v>
      </c>
    </row>
    <row r="29" spans="1:2" x14ac:dyDescent="1.4">
      <c r="A29" t="s">
        <v>27</v>
      </c>
      <c r="B29" s="1">
        <f>Assumptions!B32</f>
        <v>0.06</v>
      </c>
    </row>
    <row r="30" spans="1:2" x14ac:dyDescent="1.4">
      <c r="A30" t="s">
        <v>29</v>
      </c>
      <c r="B30" t="str">
        <f>Assumptions!B34</f>
        <v>Full Interest Only</v>
      </c>
    </row>
    <row r="31" spans="1:2" x14ac:dyDescent="1.4">
      <c r="A31" t="s">
        <v>23</v>
      </c>
      <c r="B31" s="3">
        <f>Assumptions!B27</f>
        <v>18300000</v>
      </c>
    </row>
    <row r="33" spans="1:2" x14ac:dyDescent="1.4">
      <c r="A33" t="s">
        <v>178</v>
      </c>
    </row>
    <row r="34" spans="1:2" x14ac:dyDescent="1.4">
      <c r="A34" t="s">
        <v>179</v>
      </c>
      <c r="B34" s="3">
        <f>'Operating Model'!B27</f>
        <v>2530227.5</v>
      </c>
    </row>
    <row r="35" spans="1:2" x14ac:dyDescent="1.4">
      <c r="A35" t="s">
        <v>180</v>
      </c>
      <c r="B35" s="3">
        <f>'Operating Model'!F27</f>
        <v>2847793.3425542754</v>
      </c>
    </row>
    <row r="36" spans="1:2" x14ac:dyDescent="1.4">
      <c r="A36" t="s">
        <v>181</v>
      </c>
      <c r="B36" s="6">
        <f>(B35/B34)^(1/4)-1</f>
        <v>3.0000000000000027E-2</v>
      </c>
    </row>
    <row r="37" spans="1:2" x14ac:dyDescent="1.4">
      <c r="A37" t="s">
        <v>182</v>
      </c>
      <c r="B37" s="10">
        <f>'Operating Model'!B36</f>
        <v>1.5837926136363636</v>
      </c>
    </row>
    <row r="38" spans="1:2" x14ac:dyDescent="1.4">
      <c r="A38" t="s">
        <v>183</v>
      </c>
      <c r="B38" s="10">
        <f>'Operating Model'!F36</f>
        <v>1.7825725398606538</v>
      </c>
    </row>
    <row r="39" spans="1:2" x14ac:dyDescent="1.4">
      <c r="A39" t="s">
        <v>184</v>
      </c>
      <c r="B39" s="1">
        <f>'Sources &amp; Uses + Debt Schedule'!B34</f>
        <v>9.5841950757575761E-2</v>
      </c>
    </row>
    <row r="40" spans="1:2" x14ac:dyDescent="1.4">
      <c r="A40" t="s">
        <v>185</v>
      </c>
      <c r="B40" s="1">
        <f>'Sources &amp; Uses + Debt Schedule'!F34</f>
        <v>0.10787095994523771</v>
      </c>
    </row>
    <row r="42" spans="1:2" x14ac:dyDescent="1.4">
      <c r="A42" t="s">
        <v>186</v>
      </c>
    </row>
    <row r="43" spans="1:2" x14ac:dyDescent="1.4">
      <c r="A43" t="s">
        <v>149</v>
      </c>
      <c r="B43" s="9">
        <f>Returns!B30</f>
        <v>9.1894812270018278E-2</v>
      </c>
    </row>
    <row r="44" spans="1:2" x14ac:dyDescent="1.4">
      <c r="A44" t="s">
        <v>187</v>
      </c>
      <c r="B44">
        <f>Returns!B31</f>
        <v>1.497126932485884</v>
      </c>
    </row>
    <row r="45" spans="1:2" x14ac:dyDescent="1.4">
      <c r="A45" t="s">
        <v>142</v>
      </c>
      <c r="B45" s="9">
        <f>Returns!B20</f>
        <v>7.3627242753655731E-2</v>
      </c>
    </row>
    <row r="46" spans="1:2" x14ac:dyDescent="1.4">
      <c r="A46" t="s">
        <v>188</v>
      </c>
      <c r="B46">
        <f>Returns!B21</f>
        <v>1.3807029723599928</v>
      </c>
    </row>
    <row r="47" spans="1:2" x14ac:dyDescent="1.4">
      <c r="A47" t="s">
        <v>189</v>
      </c>
      <c r="B47" s="1">
        <f>AVERAGE('Operating Model'!B37:F37)</f>
        <v>5.900737713422706E-2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Assumptions</vt:lpstr>
      <vt:lpstr>Operating Model</vt:lpstr>
      <vt:lpstr>Sources &amp; Uses + Debt Schedule</vt:lpstr>
      <vt:lpstr>Returns</vt:lpstr>
      <vt:lpstr>Returns Bridge</vt:lpstr>
      <vt:lpstr>Investment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Niky Witt</dc:creator>
  <cp:lastModifiedBy>Niky Witt</cp:lastModifiedBy>
  <dcterms:created xsi:type="dcterms:W3CDTF">2026-10-13T23:37:39Z</dcterms:created>
  <dcterms:modified xsi:type="dcterms:W3CDTF">2026-10-19T23:26:17Z</dcterms:modified>
</cp:coreProperties>
</file>